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d.docs.live.net/571516a0b173bb69/Documents/Climate Activism/SafeAvon/Data Analysis/Spring Baseline/"/>
    </mc:Choice>
  </mc:AlternateContent>
  <xr:revisionPtr revIDLastSave="3947" documentId="11_F25DC773A252ABDACC1048F7619943EE5BDE58F2" xr6:coauthVersionLast="47" xr6:coauthVersionMax="47" xr10:uidLastSave="{0A2B63FC-ECC7-4421-B82E-DFA21AE20043}"/>
  <bookViews>
    <workbookView xWindow="-28920" yWindow="-4020" windowWidth="29040" windowHeight="15720" tabRatio="819" activeTab="3" xr2:uid="{00000000-000D-0000-FFFF-FFFF00000000}"/>
  </bookViews>
  <sheets>
    <sheet name="All Data (20-04)" sheetId="8" r:id="rId1"/>
    <sheet name="Sites" sheetId="9" state="hidden" r:id="rId2"/>
    <sheet name="Tables" sheetId="10" r:id="rId3"/>
    <sheet name="Charts" sheetId="13" r:id="rId4"/>
  </sheets>
  <definedNames>
    <definedName name="_xlnm._FilterDatabase" localSheetId="1" hidden="1">Sites!$L$1:$M$45</definedName>
    <definedName name="_xlnm._FilterDatabase" localSheetId="2" hidden="1">Tables!$B$11:$AH$55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2" i="13" l="1"/>
  <c r="C737" i="8" a="1"/>
  <c r="C737" i="8" s="1"/>
  <c r="C736" i="8" a="1"/>
  <c r="C736" i="8" s="1"/>
  <c r="C735" i="8" a="1"/>
  <c r="C735" i="8"/>
  <c r="C734" i="8" a="1"/>
  <c r="C734" i="8"/>
  <c r="C733" i="8" a="1"/>
  <c r="C733" i="8" s="1"/>
  <c r="C722" i="8" a="1"/>
  <c r="C722" i="8" s="1"/>
  <c r="C723" i="8" a="1"/>
  <c r="C723" i="8" s="1"/>
  <c r="C731" i="8" a="1"/>
  <c r="C731" i="8" s="1"/>
  <c r="C732" i="8" a="1"/>
  <c r="C732" i="8" s="1"/>
  <c r="C716" i="8" a="1"/>
  <c r="C716" i="8" s="1"/>
  <c r="C727" i="8" a="1"/>
  <c r="C727" i="8"/>
  <c r="C725" i="8" a="1"/>
  <c r="C725" i="8" s="1"/>
  <c r="C714" i="8" a="1"/>
  <c r="C714" i="8" s="1"/>
  <c r="C715" i="8" a="1"/>
  <c r="C715" i="8" s="1"/>
  <c r="C730" i="8" a="1"/>
  <c r="C730" i="8" s="1"/>
  <c r="C729" i="8" a="1"/>
  <c r="C729" i="8"/>
  <c r="C728" i="8" a="1"/>
  <c r="C728" i="8" s="1"/>
  <c r="C726" i="8" a="1"/>
  <c r="C726" i="8" s="1"/>
  <c r="C724" i="8" a="1"/>
  <c r="C724" i="8" s="1"/>
  <c r="C717" i="8" a="1"/>
  <c r="C717" i="8" s="1"/>
  <c r="C721" i="8" a="1"/>
  <c r="C721" i="8" s="1"/>
  <c r="C720" i="8" a="1"/>
  <c r="C720" i="8" s="1"/>
  <c r="C719" i="8" a="1"/>
  <c r="C719" i="8" s="1"/>
  <c r="C718" i="8" a="1"/>
  <c r="C718" i="8" s="1"/>
  <c r="C711" i="8" a="1"/>
  <c r="C711" i="8" s="1"/>
  <c r="C688" i="8" a="1"/>
  <c r="C688" i="8" s="1"/>
  <c r="C713" i="8" a="1"/>
  <c r="C713" i="8" s="1"/>
  <c r="C699" i="8" a="1"/>
  <c r="C699" i="8" s="1"/>
  <c r="C712" i="8" a="1"/>
  <c r="C712" i="8" s="1"/>
  <c r="C710" i="8" a="1"/>
  <c r="C710" i="8" s="1"/>
  <c r="C707" i="8" a="1"/>
  <c r="C707" i="8" s="1"/>
  <c r="C709" i="8" a="1"/>
  <c r="C709" i="8" s="1"/>
  <c r="C708" i="8" a="1"/>
  <c r="C708" i="8" s="1"/>
  <c r="C705" i="8" a="1"/>
  <c r="C705" i="8" s="1"/>
  <c r="C706" i="8" a="1"/>
  <c r="C706" i="8" s="1"/>
  <c r="C703" i="8" a="1"/>
  <c r="C703" i="8" s="1"/>
  <c r="C704" i="8" a="1"/>
  <c r="C704" i="8" s="1"/>
  <c r="C701" i="8" a="1"/>
  <c r="C701" i="8" s="1"/>
  <c r="C673" i="8" a="1"/>
  <c r="C673" i="8" s="1"/>
  <c r="C611" i="8" a="1"/>
  <c r="C611" i="8" s="1"/>
  <c r="C702" i="8" a="1"/>
  <c r="C702" i="8" s="1"/>
  <c r="C700" i="8" a="1"/>
  <c r="C700" i="8" s="1"/>
  <c r="C698" i="8" a="1"/>
  <c r="C698" i="8" s="1"/>
  <c r="C696" i="8" a="1"/>
  <c r="C696" i="8" s="1"/>
  <c r="C697" i="8" a="1"/>
  <c r="C697" i="8" s="1"/>
  <c r="C681" i="8" a="1"/>
  <c r="C681" i="8" s="1"/>
  <c r="C685" i="8" a="1"/>
  <c r="C685" i="8" s="1"/>
  <c r="C684" i="8" a="1"/>
  <c r="C684" i="8" s="1"/>
  <c r="C695" i="8" a="1"/>
  <c r="C695" i="8" s="1"/>
  <c r="C694" i="8" a="1"/>
  <c r="C694" i="8" s="1"/>
  <c r="C693" i="8" a="1"/>
  <c r="C693" i="8" s="1"/>
  <c r="C692" i="8" a="1"/>
  <c r="C692" i="8" s="1"/>
  <c r="C668" i="8" a="1"/>
  <c r="C668" i="8" s="1"/>
  <c r="C669" i="8" a="1"/>
  <c r="C669" i="8" s="1"/>
  <c r="C649" i="8" a="1"/>
  <c r="C649" i="8" s="1"/>
  <c r="C648" i="8" a="1"/>
  <c r="C648" i="8" s="1"/>
  <c r="C624" i="8" a="1"/>
  <c r="C624" i="8" s="1"/>
  <c r="C623" i="8" a="1"/>
  <c r="C623" i="8" s="1"/>
  <c r="C598" i="8" a="1"/>
  <c r="C598" i="8" s="1"/>
  <c r="C597" i="8" a="1"/>
  <c r="C597" i="8" s="1"/>
  <c r="C579" i="8" a="1"/>
  <c r="C579" i="8" s="1"/>
  <c r="C578" i="8" a="1"/>
  <c r="C578" i="8" s="1"/>
  <c r="C691" i="8" a="1"/>
  <c r="C691" i="8" s="1"/>
  <c r="C690" i="8" a="1"/>
  <c r="C690" i="8" s="1"/>
  <c r="C687" i="8" a="1"/>
  <c r="C687" i="8" s="1"/>
  <c r="C689" i="8" a="1"/>
  <c r="C689" i="8" s="1"/>
  <c r="C686" i="8" a="1"/>
  <c r="C686" i="8" s="1"/>
  <c r="C680" i="8" a="1"/>
  <c r="C680" i="8" s="1"/>
  <c r="C683" i="8" a="1"/>
  <c r="C683" i="8" s="1"/>
  <c r="C682" i="8" a="1"/>
  <c r="C682" i="8" s="1"/>
  <c r="C657" i="8" a="1"/>
  <c r="C657" i="8" s="1"/>
  <c r="C679" i="8" a="1"/>
  <c r="C679" i="8" s="1"/>
  <c r="C678" i="8" a="1"/>
  <c r="C678" i="8" s="1"/>
  <c r="C677" i="8" a="1"/>
  <c r="C677" i="8" s="1"/>
  <c r="C676" i="8" a="1"/>
  <c r="C676" i="8" s="1"/>
  <c r="C675" i="8" a="1"/>
  <c r="C675" i="8" s="1"/>
  <c r="C563" i="8" a="1"/>
  <c r="C563" i="8" s="1"/>
  <c r="C564" i="8" a="1"/>
  <c r="C564" i="8" s="1"/>
  <c r="C483" i="8" a="1"/>
  <c r="C483" i="8"/>
  <c r="C484" i="8" a="1"/>
  <c r="C484" i="8" s="1"/>
  <c r="C665" i="8" a="1"/>
  <c r="C665" i="8" s="1"/>
  <c r="C666" i="8" a="1"/>
  <c r="C666" i="8" s="1"/>
  <c r="C645" i="8" a="1"/>
  <c r="C645" i="8" s="1"/>
  <c r="C646" i="8" a="1"/>
  <c r="C646" i="8"/>
  <c r="C674" i="8" a="1"/>
  <c r="C674" i="8" s="1"/>
  <c r="C667" i="8" a="1"/>
  <c r="C667" i="8" s="1"/>
  <c r="C672" i="8" a="1"/>
  <c r="C672" i="8" s="1"/>
  <c r="C671" i="8" a="1"/>
  <c r="C671" i="8" s="1"/>
  <c r="C670" i="8" a="1"/>
  <c r="C670" i="8" s="1"/>
  <c r="C664" i="8" a="1"/>
  <c r="C664" i="8" s="1"/>
  <c r="C662" i="8" a="1"/>
  <c r="C662" i="8"/>
  <c r="C661" i="8" a="1"/>
  <c r="C661" i="8" s="1"/>
  <c r="C658" i="8" a="1"/>
  <c r="C658" i="8" s="1"/>
  <c r="C663" i="8" a="1"/>
  <c r="C663" i="8" s="1"/>
  <c r="C660" i="8" a="1"/>
  <c r="C660" i="8" s="1"/>
  <c r="C659" i="8" a="1"/>
  <c r="C659" i="8" s="1"/>
  <c r="C656" i="8" a="1"/>
  <c r="C656" i="8" s="1"/>
  <c r="C644" i="8" a="1"/>
  <c r="C644" i="8" s="1"/>
  <c r="C633" i="8" a="1"/>
  <c r="C633" i="8" s="1"/>
  <c r="C655" i="8" a="1"/>
  <c r="C655" i="8" s="1"/>
  <c r="C654" i="8" a="1"/>
  <c r="C654" i="8" s="1"/>
  <c r="C647" i="8" a="1"/>
  <c r="C647" i="8" s="1"/>
  <c r="C653" i="8" a="1"/>
  <c r="C653" i="8" s="1"/>
  <c r="C652" i="8" a="1"/>
  <c r="C652" i="8"/>
  <c r="C651" i="8" a="1"/>
  <c r="C651" i="8" s="1"/>
  <c r="C650" i="8" a="1"/>
  <c r="C650" i="8" s="1"/>
  <c r="C619" i="8" a="1"/>
  <c r="C619" i="8" s="1"/>
  <c r="C640" i="8" a="1"/>
  <c r="C640" i="8" s="1"/>
  <c r="C643" i="8" a="1"/>
  <c r="C643" i="8" s="1"/>
  <c r="C642" i="8" a="1"/>
  <c r="C642" i="8" s="1"/>
  <c r="C641" i="8" a="1"/>
  <c r="C641" i="8"/>
  <c r="C638" i="8" a="1"/>
  <c r="C638" i="8" s="1"/>
  <c r="C639" i="8" a="1"/>
  <c r="C639" i="8" s="1"/>
  <c r="C637" i="8" a="1"/>
  <c r="C637" i="8" s="1"/>
  <c r="C636" i="8" a="1"/>
  <c r="C636" i="8" s="1"/>
  <c r="C635" i="8" a="1"/>
  <c r="C635" i="8" s="1"/>
  <c r="C634" i="8" a="1"/>
  <c r="C634" i="8" s="1"/>
  <c r="C626" i="8" a="1"/>
  <c r="C626" i="8" s="1"/>
  <c r="C632" i="8" a="1"/>
  <c r="C632" i="8" s="1"/>
  <c r="C631" i="8" a="1"/>
  <c r="C631" i="8" s="1"/>
  <c r="C630" i="8" a="1"/>
  <c r="C630" i="8" s="1"/>
  <c r="C629" i="8" a="1"/>
  <c r="C629" i="8" s="1"/>
  <c r="C620" i="8" a="1"/>
  <c r="C620" i="8" s="1"/>
  <c r="C628" i="8" a="1"/>
  <c r="C628" i="8" s="1"/>
  <c r="C627" i="8" a="1"/>
  <c r="C627" i="8" s="1"/>
  <c r="C606" i="8" a="1"/>
  <c r="C606" i="8" s="1"/>
  <c r="C618" i="8" a="1"/>
  <c r="C618" i="8" s="1"/>
  <c r="C612" i="8" a="1"/>
  <c r="C612" i="8" s="1"/>
  <c r="C607" i="8" a="1"/>
  <c r="C607" i="8" s="1"/>
  <c r="C625" i="8" a="1"/>
  <c r="C625" i="8" s="1"/>
  <c r="C622" i="8" a="1"/>
  <c r="C622" i="8" s="1"/>
  <c r="C621" i="8" a="1"/>
  <c r="C621" i="8" s="1"/>
  <c r="C613" i="8" a="1"/>
  <c r="C613" i="8" s="1"/>
  <c r="C617" i="8" a="1"/>
  <c r="C617" i="8" s="1"/>
  <c r="C616" i="8" a="1"/>
  <c r="C616" i="8" s="1"/>
  <c r="C615" i="8" a="1"/>
  <c r="C615" i="8" s="1"/>
  <c r="C614" i="8" a="1"/>
  <c r="C614" i="8" s="1"/>
  <c r="C599" i="8" a="1"/>
  <c r="C599" i="8" s="1"/>
  <c r="C595" i="8" a="1"/>
  <c r="C595" i="8" s="1"/>
  <c r="D737" i="8"/>
  <c r="D736" i="8"/>
  <c r="D735" i="8"/>
  <c r="D734" i="8"/>
  <c r="D733" i="8"/>
  <c r="D722" i="8"/>
  <c r="D723" i="8"/>
  <c r="D731" i="8"/>
  <c r="D732" i="8"/>
  <c r="D716" i="8"/>
  <c r="D727" i="8"/>
  <c r="D725" i="8"/>
  <c r="D714" i="8"/>
  <c r="D715" i="8"/>
  <c r="D730" i="8"/>
  <c r="D729" i="8"/>
  <c r="D728" i="8"/>
  <c r="D726" i="8"/>
  <c r="D724" i="8"/>
  <c r="D717" i="8"/>
  <c r="D721" i="8"/>
  <c r="D720" i="8"/>
  <c r="D719" i="8"/>
  <c r="D718" i="8"/>
  <c r="D711" i="8"/>
  <c r="D688" i="8"/>
  <c r="D713" i="8"/>
  <c r="D699" i="8"/>
  <c r="D712" i="8"/>
  <c r="D710" i="8"/>
  <c r="D707" i="8"/>
  <c r="D709" i="8"/>
  <c r="D708" i="8"/>
  <c r="D705" i="8"/>
  <c r="D706" i="8"/>
  <c r="D703" i="8"/>
  <c r="D704" i="8"/>
  <c r="D701" i="8"/>
  <c r="D673" i="8"/>
  <c r="D611" i="8"/>
  <c r="D702" i="8"/>
  <c r="D700" i="8"/>
  <c r="D698" i="8"/>
  <c r="D696" i="8"/>
  <c r="D697" i="8"/>
  <c r="D681" i="8"/>
  <c r="D685" i="8"/>
  <c r="D684" i="8"/>
  <c r="D695" i="8"/>
  <c r="D694" i="8"/>
  <c r="D693" i="8"/>
  <c r="D692" i="8"/>
  <c r="D668" i="8"/>
  <c r="D669" i="8"/>
  <c r="D649" i="8"/>
  <c r="D648" i="8"/>
  <c r="D624" i="8"/>
  <c r="D623" i="8"/>
  <c r="D598" i="8"/>
  <c r="D597" i="8"/>
  <c r="D579" i="8"/>
  <c r="D578" i="8"/>
  <c r="D691" i="8"/>
  <c r="D690" i="8"/>
  <c r="D687" i="8"/>
  <c r="D689" i="8"/>
  <c r="D686" i="8"/>
  <c r="D680" i="8"/>
  <c r="D683" i="8"/>
  <c r="D682" i="8"/>
  <c r="D657" i="8"/>
  <c r="D679" i="8"/>
  <c r="D678" i="8"/>
  <c r="D677" i="8"/>
  <c r="D676" i="8"/>
  <c r="D675" i="8"/>
  <c r="D563" i="8"/>
  <c r="D564" i="8"/>
  <c r="D483" i="8"/>
  <c r="D484" i="8"/>
  <c r="D665" i="8"/>
  <c r="D666" i="8"/>
  <c r="D645" i="8"/>
  <c r="D646" i="8"/>
  <c r="D674" i="8"/>
  <c r="D667" i="8"/>
  <c r="D672" i="8"/>
  <c r="D671" i="8"/>
  <c r="D670" i="8"/>
  <c r="D664" i="8"/>
  <c r="D662" i="8"/>
  <c r="D661" i="8"/>
  <c r="D658" i="8"/>
  <c r="D663" i="8"/>
  <c r="D660" i="8"/>
  <c r="D659" i="8"/>
  <c r="D656" i="8"/>
  <c r="D644" i="8"/>
  <c r="D633" i="8"/>
  <c r="D655" i="8"/>
  <c r="D654" i="8"/>
  <c r="D647" i="8"/>
  <c r="D653" i="8"/>
  <c r="D652" i="8"/>
  <c r="D651" i="8"/>
  <c r="D650" i="8"/>
  <c r="D619" i="8"/>
  <c r="D640" i="8"/>
  <c r="D643" i="8"/>
  <c r="D642" i="8"/>
  <c r="D641" i="8"/>
  <c r="D638" i="8"/>
  <c r="D639" i="8"/>
  <c r="D637" i="8"/>
  <c r="D636" i="8"/>
  <c r="D635" i="8"/>
  <c r="D634" i="8"/>
  <c r="D626" i="8"/>
  <c r="D632" i="8"/>
  <c r="D631" i="8"/>
  <c r="D630" i="8"/>
  <c r="D629" i="8"/>
  <c r="D620" i="8"/>
  <c r="D628" i="8"/>
  <c r="D627" i="8"/>
  <c r="D606" i="8"/>
  <c r="D618" i="8"/>
  <c r="D612" i="8"/>
  <c r="D607" i="8"/>
  <c r="D625" i="8"/>
  <c r="D622" i="8"/>
  <c r="D621" i="8"/>
  <c r="D613" i="8"/>
  <c r="D617" i="8"/>
  <c r="D616" i="8"/>
  <c r="D615" i="8"/>
  <c r="D614" i="8"/>
  <c r="D599" i="8"/>
  <c r="D595" i="8"/>
  <c r="F737" i="8"/>
  <c r="F736" i="8"/>
  <c r="F735" i="8"/>
  <c r="F734" i="8"/>
  <c r="F733" i="8"/>
  <c r="F722" i="8"/>
  <c r="F723" i="8"/>
  <c r="F731" i="8"/>
  <c r="F732" i="8"/>
  <c r="F716" i="8"/>
  <c r="F727" i="8"/>
  <c r="F725" i="8"/>
  <c r="F714" i="8"/>
  <c r="F715" i="8"/>
  <c r="F730" i="8"/>
  <c r="F729" i="8"/>
  <c r="F728" i="8"/>
  <c r="F726" i="8"/>
  <c r="F724" i="8"/>
  <c r="F717" i="8"/>
  <c r="F721" i="8"/>
  <c r="F720" i="8"/>
  <c r="F719" i="8"/>
  <c r="F718" i="8"/>
  <c r="F711" i="8"/>
  <c r="F688" i="8"/>
  <c r="F713" i="8"/>
  <c r="F699" i="8"/>
  <c r="F712" i="8"/>
  <c r="F710" i="8"/>
  <c r="F707" i="8"/>
  <c r="F709" i="8"/>
  <c r="F708" i="8"/>
  <c r="F705" i="8"/>
  <c r="F706" i="8"/>
  <c r="F703" i="8"/>
  <c r="F704" i="8"/>
  <c r="F701" i="8"/>
  <c r="F673" i="8"/>
  <c r="F611" i="8"/>
  <c r="F702" i="8"/>
  <c r="F700" i="8"/>
  <c r="F698" i="8"/>
  <c r="F696" i="8"/>
  <c r="F697" i="8"/>
  <c r="F681" i="8"/>
  <c r="F685" i="8"/>
  <c r="F684" i="8"/>
  <c r="F695" i="8"/>
  <c r="F694" i="8"/>
  <c r="F693" i="8"/>
  <c r="F692" i="8"/>
  <c r="F668" i="8"/>
  <c r="F669" i="8"/>
  <c r="F649" i="8"/>
  <c r="F648" i="8"/>
  <c r="F624" i="8"/>
  <c r="F623" i="8"/>
  <c r="F598" i="8"/>
  <c r="F597" i="8"/>
  <c r="F579" i="8"/>
  <c r="F578" i="8"/>
  <c r="F691" i="8"/>
  <c r="F690" i="8"/>
  <c r="F687" i="8"/>
  <c r="F689" i="8"/>
  <c r="F686" i="8"/>
  <c r="F680" i="8"/>
  <c r="F683" i="8"/>
  <c r="F682" i="8"/>
  <c r="F657" i="8"/>
  <c r="F679" i="8"/>
  <c r="F678" i="8"/>
  <c r="F677" i="8"/>
  <c r="F676" i="8"/>
  <c r="F675" i="8"/>
  <c r="F563" i="8"/>
  <c r="F564" i="8"/>
  <c r="F483" i="8"/>
  <c r="F484" i="8"/>
  <c r="F665" i="8"/>
  <c r="F666" i="8"/>
  <c r="F645" i="8"/>
  <c r="F646" i="8"/>
  <c r="F674" i="8"/>
  <c r="F667" i="8"/>
  <c r="F672" i="8"/>
  <c r="F671" i="8"/>
  <c r="F670" i="8"/>
  <c r="F664" i="8"/>
  <c r="F662" i="8"/>
  <c r="F661" i="8"/>
  <c r="F658" i="8"/>
  <c r="F663" i="8"/>
  <c r="F660" i="8"/>
  <c r="F659" i="8"/>
  <c r="F656" i="8"/>
  <c r="F644" i="8"/>
  <c r="F633" i="8"/>
  <c r="F655" i="8"/>
  <c r="F654" i="8"/>
  <c r="F647" i="8"/>
  <c r="F653" i="8"/>
  <c r="F652" i="8"/>
  <c r="F651" i="8"/>
  <c r="F650" i="8"/>
  <c r="F619" i="8"/>
  <c r="F640" i="8"/>
  <c r="F643" i="8"/>
  <c r="F642" i="8"/>
  <c r="F641" i="8"/>
  <c r="F638" i="8"/>
  <c r="F639" i="8"/>
  <c r="F637" i="8"/>
  <c r="F636" i="8"/>
  <c r="F635" i="8"/>
  <c r="F634" i="8"/>
  <c r="F626" i="8"/>
  <c r="F632" i="8"/>
  <c r="F631" i="8"/>
  <c r="F630" i="8"/>
  <c r="F629" i="8"/>
  <c r="F620" i="8"/>
  <c r="F628" i="8"/>
  <c r="F627" i="8"/>
  <c r="F606" i="8"/>
  <c r="F618" i="8"/>
  <c r="F612" i="8"/>
  <c r="F607" i="8"/>
  <c r="F625" i="8"/>
  <c r="F622" i="8"/>
  <c r="F621" i="8"/>
  <c r="F613" i="8"/>
  <c r="F617" i="8"/>
  <c r="F616" i="8"/>
  <c r="F615" i="8"/>
  <c r="F614" i="8"/>
  <c r="F599" i="8"/>
  <c r="F595" i="8"/>
  <c r="H737" i="8"/>
  <c r="J737" i="8" s="1"/>
  <c r="H736" i="8"/>
  <c r="I736" i="8" s="1"/>
  <c r="H735" i="8"/>
  <c r="J735" i="8" s="1"/>
  <c r="H734" i="8"/>
  <c r="I734" i="8" s="1"/>
  <c r="H733" i="8"/>
  <c r="I733" i="8" s="1"/>
  <c r="H722" i="8"/>
  <c r="H723" i="8"/>
  <c r="I723" i="8" s="1"/>
  <c r="H731" i="8"/>
  <c r="J731" i="8" s="1"/>
  <c r="H732" i="8"/>
  <c r="J732" i="8" s="1"/>
  <c r="H716" i="8"/>
  <c r="I716" i="8" s="1"/>
  <c r="H727" i="8"/>
  <c r="J727" i="8" s="1"/>
  <c r="H725" i="8"/>
  <c r="I725" i="8" s="1"/>
  <c r="H714" i="8"/>
  <c r="I714" i="8" s="1"/>
  <c r="H715" i="8"/>
  <c r="H730" i="8"/>
  <c r="J730" i="8" s="1"/>
  <c r="H729" i="8"/>
  <c r="I729" i="8" s="1"/>
  <c r="H728" i="8"/>
  <c r="J728" i="8" s="1"/>
  <c r="H726" i="8"/>
  <c r="I726" i="8" s="1"/>
  <c r="H724" i="8"/>
  <c r="J724" i="8" s="1"/>
  <c r="H717" i="8"/>
  <c r="I717" i="8" s="1"/>
  <c r="H721" i="8"/>
  <c r="I721" i="8" s="1"/>
  <c r="H720" i="8"/>
  <c r="H719" i="8"/>
  <c r="J719" i="8" s="1"/>
  <c r="H718" i="8"/>
  <c r="I718" i="8" s="1"/>
  <c r="H711" i="8"/>
  <c r="J711" i="8" s="1"/>
  <c r="H688" i="8"/>
  <c r="I688" i="8" s="1"/>
  <c r="H713" i="8"/>
  <c r="J713" i="8" s="1"/>
  <c r="H699" i="8"/>
  <c r="I699" i="8" s="1"/>
  <c r="H712" i="8"/>
  <c r="I712" i="8" s="1"/>
  <c r="H710" i="8"/>
  <c r="H707" i="8"/>
  <c r="I707" i="8" s="1"/>
  <c r="H709" i="8"/>
  <c r="I709" i="8" s="1"/>
  <c r="H708" i="8"/>
  <c r="J708" i="8" s="1"/>
  <c r="H705" i="8"/>
  <c r="I705" i="8" s="1"/>
  <c r="H706" i="8"/>
  <c r="J706" i="8" s="1"/>
  <c r="H703" i="8"/>
  <c r="I703" i="8" s="1"/>
  <c r="H704" i="8"/>
  <c r="I704" i="8" s="1"/>
  <c r="H701" i="8"/>
  <c r="H673" i="8"/>
  <c r="I673" i="8" s="1"/>
  <c r="H611" i="8"/>
  <c r="I611" i="8" s="1"/>
  <c r="H702" i="8"/>
  <c r="J702" i="8" s="1"/>
  <c r="H700" i="8"/>
  <c r="I700" i="8" s="1"/>
  <c r="H698" i="8"/>
  <c r="J698" i="8" s="1"/>
  <c r="H696" i="8"/>
  <c r="I696" i="8" s="1"/>
  <c r="H697" i="8"/>
  <c r="I697" i="8" s="1"/>
  <c r="H681" i="8"/>
  <c r="H685" i="8"/>
  <c r="J685" i="8" s="1"/>
  <c r="H684" i="8"/>
  <c r="I684" i="8" s="1"/>
  <c r="H695" i="8"/>
  <c r="J695" i="8" s="1"/>
  <c r="H694" i="8"/>
  <c r="I694" i="8" s="1"/>
  <c r="H693" i="8"/>
  <c r="J693" i="8" s="1"/>
  <c r="H692" i="8"/>
  <c r="I692" i="8" s="1"/>
  <c r="H668" i="8"/>
  <c r="I668" i="8" s="1"/>
  <c r="H669" i="8"/>
  <c r="H649" i="8"/>
  <c r="J649" i="8" s="1"/>
  <c r="H648" i="8"/>
  <c r="I648" i="8" s="1"/>
  <c r="H624" i="8"/>
  <c r="J624" i="8" s="1"/>
  <c r="H623" i="8"/>
  <c r="I623" i="8" s="1"/>
  <c r="H598" i="8"/>
  <c r="J598" i="8" s="1"/>
  <c r="H597" i="8"/>
  <c r="I597" i="8" s="1"/>
  <c r="H579" i="8"/>
  <c r="I579" i="8" s="1"/>
  <c r="H578" i="8"/>
  <c r="H691" i="8"/>
  <c r="I691" i="8" s="1"/>
  <c r="H690" i="8"/>
  <c r="I690" i="8" s="1"/>
  <c r="H687" i="8"/>
  <c r="J687" i="8" s="1"/>
  <c r="H689" i="8"/>
  <c r="I689" i="8" s="1"/>
  <c r="H686" i="8"/>
  <c r="J686" i="8" s="1"/>
  <c r="H680" i="8"/>
  <c r="I680" i="8" s="1"/>
  <c r="H683" i="8"/>
  <c r="I683" i="8" s="1"/>
  <c r="H682" i="8"/>
  <c r="H657" i="8"/>
  <c r="J657" i="8" s="1"/>
  <c r="H679" i="8"/>
  <c r="J679" i="8" s="1"/>
  <c r="H678" i="8"/>
  <c r="J678" i="8" s="1"/>
  <c r="H677" i="8"/>
  <c r="I677" i="8" s="1"/>
  <c r="H676" i="8"/>
  <c r="J676" i="8" s="1"/>
  <c r="H675" i="8"/>
  <c r="I675" i="8" s="1"/>
  <c r="H563" i="8"/>
  <c r="I563" i="8" s="1"/>
  <c r="H564" i="8"/>
  <c r="H483" i="8"/>
  <c r="J483" i="8" s="1"/>
  <c r="H484" i="8"/>
  <c r="I484" i="8" s="1"/>
  <c r="H665" i="8"/>
  <c r="J665" i="8" s="1"/>
  <c r="H666" i="8"/>
  <c r="I666" i="8" s="1"/>
  <c r="H645" i="8"/>
  <c r="J645" i="8" s="1"/>
  <c r="H646" i="8"/>
  <c r="I646" i="8" s="1"/>
  <c r="H674" i="8"/>
  <c r="I674" i="8" s="1"/>
  <c r="H667" i="8"/>
  <c r="H672" i="8"/>
  <c r="J672" i="8" s="1"/>
  <c r="H671" i="8"/>
  <c r="I671" i="8" s="1"/>
  <c r="H670" i="8"/>
  <c r="J670" i="8" s="1"/>
  <c r="H664" i="8"/>
  <c r="I664" i="8" s="1"/>
  <c r="H662" i="8"/>
  <c r="J662" i="8" s="1"/>
  <c r="H661" i="8"/>
  <c r="I661" i="8" s="1"/>
  <c r="H658" i="8"/>
  <c r="I658" i="8" s="1"/>
  <c r="H663" i="8"/>
  <c r="H660" i="8"/>
  <c r="I660" i="8" s="1"/>
  <c r="H659" i="8"/>
  <c r="I659" i="8" s="1"/>
  <c r="H656" i="8"/>
  <c r="J656" i="8" s="1"/>
  <c r="H644" i="8"/>
  <c r="I644" i="8" s="1"/>
  <c r="H633" i="8"/>
  <c r="J633" i="8" s="1"/>
  <c r="H655" i="8"/>
  <c r="I655" i="8" s="1"/>
  <c r="H654" i="8"/>
  <c r="I654" i="8" s="1"/>
  <c r="H647" i="8"/>
  <c r="H653" i="8"/>
  <c r="J653" i="8" s="1"/>
  <c r="H652" i="8"/>
  <c r="I652" i="8" s="1"/>
  <c r="H651" i="8"/>
  <c r="J651" i="8" s="1"/>
  <c r="H650" i="8"/>
  <c r="I650" i="8" s="1"/>
  <c r="H619" i="8"/>
  <c r="J619" i="8" s="1"/>
  <c r="H640" i="8"/>
  <c r="I640" i="8" s="1"/>
  <c r="H643" i="8"/>
  <c r="I643" i="8" s="1"/>
  <c r="H642" i="8"/>
  <c r="H641" i="8"/>
  <c r="I641" i="8" s="1"/>
  <c r="H638" i="8"/>
  <c r="I638" i="8" s="1"/>
  <c r="H639" i="8"/>
  <c r="J639" i="8" s="1"/>
  <c r="H637" i="8"/>
  <c r="I637" i="8" s="1"/>
  <c r="H636" i="8"/>
  <c r="J636" i="8" s="1"/>
  <c r="H635" i="8"/>
  <c r="I635" i="8" s="1"/>
  <c r="H634" i="8"/>
  <c r="I634" i="8" s="1"/>
  <c r="H626" i="8"/>
  <c r="H632" i="8"/>
  <c r="I632" i="8" s="1"/>
  <c r="H631" i="8"/>
  <c r="I631" i="8" s="1"/>
  <c r="H630" i="8"/>
  <c r="J630" i="8" s="1"/>
  <c r="H629" i="8"/>
  <c r="I629" i="8" s="1"/>
  <c r="H620" i="8"/>
  <c r="J620" i="8" s="1"/>
  <c r="H628" i="8"/>
  <c r="I628" i="8" s="1"/>
  <c r="H627" i="8"/>
  <c r="I627" i="8" s="1"/>
  <c r="H606" i="8"/>
  <c r="H618" i="8"/>
  <c r="I618" i="8" s="1"/>
  <c r="H612" i="8"/>
  <c r="I612" i="8" s="1"/>
  <c r="H607" i="8"/>
  <c r="J607" i="8" s="1"/>
  <c r="H625" i="8"/>
  <c r="I625" i="8" s="1"/>
  <c r="H622" i="8"/>
  <c r="J622" i="8" s="1"/>
  <c r="H621" i="8"/>
  <c r="I621" i="8" s="1"/>
  <c r="H613" i="8"/>
  <c r="I613" i="8" s="1"/>
  <c r="H617" i="8"/>
  <c r="H616" i="8"/>
  <c r="J616" i="8" s="1"/>
  <c r="H615" i="8"/>
  <c r="J615" i="8" s="1"/>
  <c r="H614" i="8"/>
  <c r="J614" i="8" s="1"/>
  <c r="H599" i="8"/>
  <c r="I599" i="8" s="1"/>
  <c r="H595" i="8"/>
  <c r="J595" i="8" s="1"/>
  <c r="R737" i="8"/>
  <c r="R736" i="8"/>
  <c r="R735" i="8"/>
  <c r="R734" i="8"/>
  <c r="R733" i="8"/>
  <c r="R722" i="8"/>
  <c r="R723" i="8"/>
  <c r="R731" i="8"/>
  <c r="R732" i="8"/>
  <c r="R716" i="8"/>
  <c r="R727" i="8"/>
  <c r="R725" i="8"/>
  <c r="R714" i="8"/>
  <c r="R715" i="8"/>
  <c r="R730" i="8"/>
  <c r="R729" i="8"/>
  <c r="R728" i="8"/>
  <c r="R726" i="8"/>
  <c r="R724" i="8"/>
  <c r="R717" i="8"/>
  <c r="R721" i="8"/>
  <c r="R720" i="8"/>
  <c r="R719" i="8"/>
  <c r="R718" i="8"/>
  <c r="R711" i="8"/>
  <c r="R688" i="8"/>
  <c r="R713" i="8"/>
  <c r="R699" i="8"/>
  <c r="R712" i="8"/>
  <c r="R710" i="8"/>
  <c r="R707" i="8"/>
  <c r="R709" i="8"/>
  <c r="R708" i="8"/>
  <c r="R705" i="8"/>
  <c r="R706" i="8"/>
  <c r="R703" i="8"/>
  <c r="R704" i="8"/>
  <c r="R701" i="8"/>
  <c r="R673" i="8"/>
  <c r="R611" i="8"/>
  <c r="R702" i="8"/>
  <c r="R700" i="8"/>
  <c r="R698" i="8"/>
  <c r="R696" i="8"/>
  <c r="R697" i="8"/>
  <c r="R681" i="8"/>
  <c r="R685" i="8"/>
  <c r="R684" i="8"/>
  <c r="R695" i="8"/>
  <c r="R694" i="8"/>
  <c r="R693" i="8"/>
  <c r="R692" i="8"/>
  <c r="R668" i="8"/>
  <c r="R669" i="8"/>
  <c r="R649" i="8"/>
  <c r="R648" i="8"/>
  <c r="R624" i="8"/>
  <c r="R623" i="8"/>
  <c r="R598" i="8"/>
  <c r="R597" i="8"/>
  <c r="R579" i="8"/>
  <c r="R578" i="8"/>
  <c r="R691" i="8"/>
  <c r="R690" i="8"/>
  <c r="R687" i="8"/>
  <c r="R689" i="8"/>
  <c r="R686" i="8"/>
  <c r="R680" i="8"/>
  <c r="R683" i="8"/>
  <c r="R682" i="8"/>
  <c r="R657" i="8"/>
  <c r="R679" i="8"/>
  <c r="R678" i="8"/>
  <c r="R677" i="8"/>
  <c r="R676" i="8"/>
  <c r="R675" i="8"/>
  <c r="R563" i="8"/>
  <c r="R564" i="8"/>
  <c r="R483" i="8"/>
  <c r="R484" i="8"/>
  <c r="R665" i="8"/>
  <c r="R666" i="8"/>
  <c r="R645" i="8"/>
  <c r="R646" i="8"/>
  <c r="R674" i="8"/>
  <c r="R667" i="8"/>
  <c r="R672" i="8"/>
  <c r="R671" i="8"/>
  <c r="R670" i="8"/>
  <c r="R664" i="8"/>
  <c r="R662" i="8"/>
  <c r="R661" i="8"/>
  <c r="R658" i="8"/>
  <c r="R663" i="8"/>
  <c r="R660" i="8"/>
  <c r="R659" i="8"/>
  <c r="R656" i="8"/>
  <c r="R644" i="8"/>
  <c r="R633" i="8"/>
  <c r="R655" i="8"/>
  <c r="R654" i="8"/>
  <c r="R647" i="8"/>
  <c r="R653" i="8"/>
  <c r="R652" i="8"/>
  <c r="R651" i="8"/>
  <c r="R650" i="8"/>
  <c r="R619" i="8"/>
  <c r="R640" i="8"/>
  <c r="R643" i="8"/>
  <c r="R642" i="8"/>
  <c r="R641" i="8"/>
  <c r="R638" i="8"/>
  <c r="R639" i="8"/>
  <c r="R637" i="8"/>
  <c r="R636" i="8"/>
  <c r="R635" i="8"/>
  <c r="R634" i="8"/>
  <c r="R626" i="8"/>
  <c r="R632" i="8"/>
  <c r="R631" i="8"/>
  <c r="R630" i="8"/>
  <c r="R629" i="8"/>
  <c r="R620" i="8"/>
  <c r="R628" i="8"/>
  <c r="R627" i="8"/>
  <c r="R606" i="8"/>
  <c r="R618" i="8"/>
  <c r="R612" i="8"/>
  <c r="R607" i="8"/>
  <c r="R625" i="8"/>
  <c r="R622" i="8"/>
  <c r="R621" i="8"/>
  <c r="R613" i="8"/>
  <c r="R617" i="8"/>
  <c r="R616" i="8"/>
  <c r="R615" i="8"/>
  <c r="R614" i="8"/>
  <c r="R599" i="8"/>
  <c r="R595" i="8"/>
  <c r="T737" i="8"/>
  <c r="T736" i="8"/>
  <c r="T735" i="8"/>
  <c r="T734" i="8"/>
  <c r="T733" i="8"/>
  <c r="T722" i="8"/>
  <c r="T723" i="8"/>
  <c r="T731" i="8"/>
  <c r="T732" i="8"/>
  <c r="T716" i="8"/>
  <c r="T727" i="8"/>
  <c r="T725" i="8"/>
  <c r="T714" i="8"/>
  <c r="T715" i="8"/>
  <c r="T730" i="8"/>
  <c r="T729" i="8"/>
  <c r="T728" i="8"/>
  <c r="T726" i="8"/>
  <c r="T724" i="8"/>
  <c r="T717" i="8"/>
  <c r="T721" i="8"/>
  <c r="T720" i="8"/>
  <c r="T719" i="8"/>
  <c r="T718" i="8"/>
  <c r="T711" i="8"/>
  <c r="T688" i="8"/>
  <c r="T713" i="8"/>
  <c r="T699" i="8"/>
  <c r="T712" i="8"/>
  <c r="T710" i="8"/>
  <c r="T707" i="8"/>
  <c r="T709" i="8"/>
  <c r="T708" i="8"/>
  <c r="T705" i="8"/>
  <c r="T706" i="8"/>
  <c r="T703" i="8"/>
  <c r="T704" i="8"/>
  <c r="T701" i="8"/>
  <c r="T673" i="8"/>
  <c r="T611" i="8"/>
  <c r="T702" i="8"/>
  <c r="T700" i="8"/>
  <c r="T698" i="8"/>
  <c r="T696" i="8"/>
  <c r="T697" i="8"/>
  <c r="T681" i="8"/>
  <c r="T685" i="8"/>
  <c r="T684" i="8"/>
  <c r="T695" i="8"/>
  <c r="T694" i="8"/>
  <c r="T693" i="8"/>
  <c r="T692" i="8"/>
  <c r="T668" i="8"/>
  <c r="T669" i="8"/>
  <c r="T649" i="8"/>
  <c r="T648" i="8"/>
  <c r="T624" i="8"/>
  <c r="T623" i="8"/>
  <c r="T598" i="8"/>
  <c r="T597" i="8"/>
  <c r="T579" i="8"/>
  <c r="T578" i="8"/>
  <c r="T691" i="8"/>
  <c r="T690" i="8"/>
  <c r="T687" i="8"/>
  <c r="T689" i="8"/>
  <c r="T686" i="8"/>
  <c r="T680" i="8"/>
  <c r="T683" i="8"/>
  <c r="T682" i="8"/>
  <c r="T657" i="8"/>
  <c r="T679" i="8"/>
  <c r="T678" i="8"/>
  <c r="T677" i="8"/>
  <c r="T676" i="8"/>
  <c r="T675" i="8"/>
  <c r="T563" i="8"/>
  <c r="T564" i="8"/>
  <c r="T483" i="8"/>
  <c r="T484" i="8"/>
  <c r="T665" i="8"/>
  <c r="T666" i="8"/>
  <c r="T645" i="8"/>
  <c r="T646" i="8"/>
  <c r="T674" i="8"/>
  <c r="T667" i="8"/>
  <c r="T672" i="8"/>
  <c r="T671" i="8"/>
  <c r="T670" i="8"/>
  <c r="T664" i="8"/>
  <c r="T662" i="8"/>
  <c r="T661" i="8"/>
  <c r="T658" i="8"/>
  <c r="T663" i="8"/>
  <c r="T660" i="8"/>
  <c r="T659" i="8"/>
  <c r="T656" i="8"/>
  <c r="T644" i="8"/>
  <c r="T633" i="8"/>
  <c r="T655" i="8"/>
  <c r="T654" i="8"/>
  <c r="T647" i="8"/>
  <c r="T653" i="8"/>
  <c r="T652" i="8"/>
  <c r="T651" i="8"/>
  <c r="T650" i="8"/>
  <c r="T619" i="8"/>
  <c r="T640" i="8"/>
  <c r="T643" i="8"/>
  <c r="T642" i="8"/>
  <c r="T641" i="8"/>
  <c r="T638" i="8"/>
  <c r="T639" i="8"/>
  <c r="T637" i="8"/>
  <c r="T636" i="8"/>
  <c r="T635" i="8"/>
  <c r="T634" i="8"/>
  <c r="T626" i="8"/>
  <c r="T632" i="8"/>
  <c r="T631" i="8"/>
  <c r="T630" i="8"/>
  <c r="T629" i="8"/>
  <c r="T620" i="8"/>
  <c r="T628" i="8"/>
  <c r="T627" i="8"/>
  <c r="T606" i="8"/>
  <c r="T618" i="8"/>
  <c r="T612" i="8"/>
  <c r="T607" i="8"/>
  <c r="T625" i="8"/>
  <c r="T622" i="8"/>
  <c r="T621" i="8"/>
  <c r="T613" i="8"/>
  <c r="T617" i="8"/>
  <c r="T616" i="8"/>
  <c r="T615" i="8"/>
  <c r="T614" i="8"/>
  <c r="T599" i="8"/>
  <c r="T595" i="8"/>
  <c r="B22" i="13"/>
  <c r="B21" i="13"/>
  <c r="B20" i="13"/>
  <c r="C57" i="10"/>
  <c r="I20" i="13" s="1"/>
  <c r="J613" i="8" l="1"/>
  <c r="J658" i="8"/>
  <c r="J721" i="8"/>
  <c r="I619" i="8"/>
  <c r="I693" i="8"/>
  <c r="I672" i="8"/>
  <c r="J674" i="8"/>
  <c r="J673" i="8"/>
  <c r="J704" i="8"/>
  <c r="I483" i="8"/>
  <c r="J712" i="8"/>
  <c r="J671" i="8"/>
  <c r="J632" i="8"/>
  <c r="J579" i="8"/>
  <c r="J723" i="8"/>
  <c r="I685" i="8"/>
  <c r="J631" i="8"/>
  <c r="J683" i="8"/>
  <c r="J714" i="8"/>
  <c r="I719" i="8"/>
  <c r="J643" i="8"/>
  <c r="J697" i="8"/>
  <c r="J733" i="8"/>
  <c r="J660" i="8"/>
  <c r="J611" i="8"/>
  <c r="I662" i="8"/>
  <c r="I595" i="8"/>
  <c r="I645" i="8"/>
  <c r="I713" i="8"/>
  <c r="I620" i="8"/>
  <c r="J634" i="8"/>
  <c r="I676" i="8"/>
  <c r="I724" i="8"/>
  <c r="J641" i="8"/>
  <c r="J690" i="8"/>
  <c r="I636" i="8"/>
  <c r="I598" i="8"/>
  <c r="I730" i="8"/>
  <c r="I698" i="8"/>
  <c r="J691" i="8"/>
  <c r="I649" i="8"/>
  <c r="I727" i="8"/>
  <c r="J648" i="8"/>
  <c r="J707" i="8"/>
  <c r="J612" i="8"/>
  <c r="J652" i="8"/>
  <c r="I653" i="8"/>
  <c r="I657" i="8"/>
  <c r="J618" i="8"/>
  <c r="J563" i="8"/>
  <c r="J668" i="8"/>
  <c r="J718" i="8"/>
  <c r="I616" i="8"/>
  <c r="I633" i="8"/>
  <c r="I686" i="8"/>
  <c r="I706" i="8"/>
  <c r="I735" i="8"/>
  <c r="J627" i="8"/>
  <c r="J654" i="8"/>
  <c r="I622" i="8"/>
  <c r="I651" i="8"/>
  <c r="I678" i="8"/>
  <c r="I702" i="8"/>
  <c r="J484" i="8"/>
  <c r="J729" i="8"/>
  <c r="I615" i="8"/>
  <c r="I679" i="8"/>
  <c r="I731" i="8"/>
  <c r="I630" i="8"/>
  <c r="I624" i="8"/>
  <c r="J659" i="8"/>
  <c r="J709" i="8"/>
  <c r="I670" i="8"/>
  <c r="I732" i="8"/>
  <c r="I607" i="8"/>
  <c r="I639" i="8"/>
  <c r="I656" i="8"/>
  <c r="I665" i="8"/>
  <c r="I687" i="8"/>
  <c r="I695" i="8"/>
  <c r="I708" i="8"/>
  <c r="I728" i="8"/>
  <c r="I737" i="8"/>
  <c r="I614" i="8"/>
  <c r="I711" i="8"/>
  <c r="J638" i="8"/>
  <c r="J684" i="8"/>
  <c r="I606" i="8"/>
  <c r="J606" i="8"/>
  <c r="I642" i="8"/>
  <c r="J642" i="8"/>
  <c r="I564" i="8"/>
  <c r="J564" i="8"/>
  <c r="I578" i="8"/>
  <c r="J578" i="8"/>
  <c r="I681" i="8"/>
  <c r="J681" i="8"/>
  <c r="I720" i="8"/>
  <c r="J720" i="8"/>
  <c r="I617" i="8"/>
  <c r="J617" i="8"/>
  <c r="I647" i="8"/>
  <c r="J647" i="8"/>
  <c r="I667" i="8"/>
  <c r="J667" i="8"/>
  <c r="I682" i="8"/>
  <c r="J682" i="8"/>
  <c r="I701" i="8"/>
  <c r="J701" i="8"/>
  <c r="I715" i="8"/>
  <c r="J715" i="8"/>
  <c r="I626" i="8"/>
  <c r="J626" i="8"/>
  <c r="I663" i="8"/>
  <c r="J663" i="8"/>
  <c r="I669" i="8"/>
  <c r="J669" i="8"/>
  <c r="I710" i="8"/>
  <c r="J710" i="8"/>
  <c r="I722" i="8"/>
  <c r="J722" i="8"/>
  <c r="J621" i="8"/>
  <c r="J640" i="8"/>
  <c r="J646" i="8"/>
  <c r="J597" i="8"/>
  <c r="J703" i="8"/>
  <c r="J734" i="8"/>
  <c r="J628" i="8"/>
  <c r="J635" i="8"/>
  <c r="J655" i="8"/>
  <c r="J661" i="8"/>
  <c r="J675" i="8"/>
  <c r="J680" i="8"/>
  <c r="J692" i="8"/>
  <c r="J696" i="8"/>
  <c r="J699" i="8"/>
  <c r="J717" i="8"/>
  <c r="J725" i="8"/>
  <c r="J599" i="8"/>
  <c r="J625" i="8"/>
  <c r="J629" i="8"/>
  <c r="J637" i="8"/>
  <c r="J650" i="8"/>
  <c r="J644" i="8"/>
  <c r="J664" i="8"/>
  <c r="J666" i="8"/>
  <c r="J677" i="8"/>
  <c r="J689" i="8"/>
  <c r="J623" i="8"/>
  <c r="J694" i="8"/>
  <c r="J700" i="8"/>
  <c r="J705" i="8"/>
  <c r="J688" i="8"/>
  <c r="J726" i="8"/>
  <c r="J716" i="8"/>
  <c r="J736" i="8"/>
  <c r="O2" i="9"/>
  <c r="O3" i="9"/>
  <c r="O4" i="9"/>
  <c r="O5" i="9"/>
  <c r="O6" i="9"/>
  <c r="O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H610" i="8"/>
  <c r="H609" i="8"/>
  <c r="H608" i="8"/>
  <c r="J608" i="8" s="1"/>
  <c r="H582" i="8"/>
  <c r="H605" i="8"/>
  <c r="H604" i="8"/>
  <c r="H603" i="8"/>
  <c r="H602" i="8"/>
  <c r="J602" i="8" s="1"/>
  <c r="H600" i="8"/>
  <c r="H601" i="8"/>
  <c r="H596" i="8"/>
  <c r="J596" i="8" s="1"/>
  <c r="H593" i="8"/>
  <c r="H570" i="8"/>
  <c r="H546" i="8"/>
  <c r="H591" i="8"/>
  <c r="H592" i="8"/>
  <c r="I592" i="8" s="1"/>
  <c r="H594" i="8"/>
  <c r="H590" i="8"/>
  <c r="H589" i="8"/>
  <c r="J589" i="8" s="1"/>
  <c r="H588" i="8"/>
  <c r="H586" i="8"/>
  <c r="H587" i="8"/>
  <c r="H581" i="8"/>
  <c r="H585" i="8"/>
  <c r="J585" i="8" s="1"/>
  <c r="H584" i="8"/>
  <c r="H583" i="8"/>
  <c r="H571" i="8"/>
  <c r="J571" i="8" s="1"/>
  <c r="H580" i="8"/>
  <c r="H539" i="8"/>
  <c r="H556" i="8"/>
  <c r="H576" i="8"/>
  <c r="H577" i="8"/>
  <c r="J577" i="8" s="1"/>
  <c r="H575" i="8"/>
  <c r="H574" i="8"/>
  <c r="H506" i="8"/>
  <c r="J506" i="8" s="1"/>
  <c r="H531" i="8"/>
  <c r="H573" i="8"/>
  <c r="H572" i="8"/>
  <c r="H569" i="8"/>
  <c r="H568" i="8"/>
  <c r="I568" i="8" s="1"/>
  <c r="H567" i="8"/>
  <c r="H566" i="8"/>
  <c r="H559" i="8"/>
  <c r="J559" i="8" s="1"/>
  <c r="H565" i="8"/>
  <c r="H562" i="8"/>
  <c r="H561" i="8"/>
  <c r="H560" i="8"/>
  <c r="H558" i="8"/>
  <c r="I558" i="8" s="1"/>
  <c r="H557" i="8"/>
  <c r="H555" i="8"/>
  <c r="H554" i="8"/>
  <c r="J554" i="8" s="1"/>
  <c r="H530" i="8"/>
  <c r="H529" i="8"/>
  <c r="H508" i="8"/>
  <c r="H507" i="8"/>
  <c r="H486" i="8"/>
  <c r="I486" i="8" s="1"/>
  <c r="H485" i="8"/>
  <c r="H463" i="8"/>
  <c r="H462" i="8"/>
  <c r="J462" i="8" s="1"/>
  <c r="H440" i="8"/>
  <c r="H439" i="8"/>
  <c r="H553" i="8"/>
  <c r="H552" i="8"/>
  <c r="H538" i="8"/>
  <c r="I538" i="8" s="1"/>
  <c r="H544" i="8"/>
  <c r="H545" i="8"/>
  <c r="H550" i="8"/>
  <c r="J550" i="8" s="1"/>
  <c r="H549" i="8"/>
  <c r="H551" i="8"/>
  <c r="H548" i="8"/>
  <c r="H547" i="8"/>
  <c r="H543" i="8"/>
  <c r="J543" i="8" s="1"/>
  <c r="H541" i="8"/>
  <c r="H542" i="8"/>
  <c r="H540" i="8"/>
  <c r="J540" i="8" s="1"/>
  <c r="H527" i="8"/>
  <c r="H537" i="8"/>
  <c r="H536" i="8"/>
  <c r="H521" i="8"/>
  <c r="H522" i="8"/>
  <c r="I522" i="8" s="1"/>
  <c r="H535" i="8"/>
  <c r="H534" i="8"/>
  <c r="H533" i="8"/>
  <c r="J533" i="8" s="1"/>
  <c r="H532" i="8"/>
  <c r="J532" i="8" s="1"/>
  <c r="H528" i="8"/>
  <c r="J528" i="8" s="1"/>
  <c r="H526" i="8"/>
  <c r="J526" i="8" s="1"/>
  <c r="H524" i="8"/>
  <c r="J524" i="8" s="1"/>
  <c r="H515" i="8"/>
  <c r="I515" i="8" s="1"/>
  <c r="H525" i="8"/>
  <c r="J525" i="8" s="1"/>
  <c r="H523" i="8"/>
  <c r="J523" i="8" s="1"/>
  <c r="H509" i="8"/>
  <c r="J509" i="8" s="1"/>
  <c r="H520" i="8"/>
  <c r="J520" i="8" s="1"/>
  <c r="H516" i="8"/>
  <c r="J516" i="8" s="1"/>
  <c r="H519" i="8"/>
  <c r="J519" i="8" s="1"/>
  <c r="H518" i="8"/>
  <c r="J518" i="8" s="1"/>
  <c r="H517" i="8"/>
  <c r="I517" i="8" s="1"/>
  <c r="H513" i="8"/>
  <c r="J513" i="8" s="1"/>
  <c r="H514" i="8"/>
  <c r="J514" i="8" s="1"/>
  <c r="H505" i="8"/>
  <c r="J505" i="8" s="1"/>
  <c r="H512" i="8"/>
  <c r="J512" i="8" s="1"/>
  <c r="H502" i="8"/>
  <c r="J502" i="8" s="1"/>
  <c r="H501" i="8"/>
  <c r="J501" i="8" s="1"/>
  <c r="H511" i="8"/>
  <c r="J511" i="8" s="1"/>
  <c r="H510" i="8"/>
  <c r="I510" i="8" s="1"/>
  <c r="H504" i="8"/>
  <c r="J504" i="8" s="1"/>
  <c r="H503" i="8"/>
  <c r="J503" i="8" s="1"/>
  <c r="H494" i="8"/>
  <c r="J494" i="8" s="1"/>
  <c r="H447" i="8"/>
  <c r="J447" i="8" s="1"/>
  <c r="H469" i="8"/>
  <c r="J469" i="8" s="1"/>
  <c r="H500" i="8"/>
  <c r="J500" i="8" s="1"/>
  <c r="H499" i="8"/>
  <c r="J499" i="8" s="1"/>
  <c r="H498" i="8"/>
  <c r="I498" i="8" s="1"/>
  <c r="H497" i="8"/>
  <c r="J497" i="8" s="1"/>
  <c r="H496" i="8"/>
  <c r="J496" i="8" s="1"/>
  <c r="H495" i="8"/>
  <c r="J495" i="8" s="1"/>
  <c r="H493" i="8"/>
  <c r="J493" i="8" s="1"/>
  <c r="H491" i="8"/>
  <c r="J491" i="8" s="1"/>
  <c r="H492" i="8"/>
  <c r="J492" i="8" s="1"/>
  <c r="H490" i="8"/>
  <c r="J490" i="8" s="1"/>
  <c r="H489" i="8"/>
  <c r="I489" i="8" s="1"/>
  <c r="H488" i="8"/>
  <c r="J488" i="8" s="1"/>
  <c r="H487" i="8"/>
  <c r="J487" i="8" s="1"/>
  <c r="H482" i="8"/>
  <c r="J482" i="8" s="1"/>
  <c r="H481" i="8"/>
  <c r="J481" i="8" s="1"/>
  <c r="H478" i="8"/>
  <c r="J478" i="8" s="1"/>
  <c r="H457" i="8"/>
  <c r="J457" i="8" s="1"/>
  <c r="H480" i="8"/>
  <c r="J480" i="8" s="1"/>
  <c r="H475" i="8"/>
  <c r="I475" i="8" s="1"/>
  <c r="H474" i="8"/>
  <c r="J474" i="8" s="1"/>
  <c r="H479" i="8"/>
  <c r="J479" i="8" s="1"/>
  <c r="H477" i="8"/>
  <c r="J477" i="8" s="1"/>
  <c r="H476" i="8"/>
  <c r="J476" i="8" s="1"/>
  <c r="H473" i="8"/>
  <c r="J473" i="8" s="1"/>
  <c r="H472" i="8"/>
  <c r="J472" i="8" s="1"/>
  <c r="H470" i="8"/>
  <c r="J470" i="8" s="1"/>
  <c r="H471" i="8"/>
  <c r="J471" i="8" s="1"/>
  <c r="H468" i="8"/>
  <c r="J468" i="8" s="1"/>
  <c r="H466" i="8"/>
  <c r="J466" i="8" s="1"/>
  <c r="H467" i="8"/>
  <c r="J467" i="8" s="1"/>
  <c r="H465" i="8"/>
  <c r="J465" i="8" s="1"/>
  <c r="H464" i="8"/>
  <c r="J464" i="8" s="1"/>
  <c r="H453" i="8"/>
  <c r="J453" i="8" s="1"/>
  <c r="H456" i="8"/>
  <c r="J456" i="8" s="1"/>
  <c r="H461" i="8"/>
  <c r="I461" i="8" s="1"/>
  <c r="H460" i="8"/>
  <c r="J460" i="8" s="1"/>
  <c r="H458" i="8"/>
  <c r="J458" i="8" s="1"/>
  <c r="H459" i="8"/>
  <c r="J459" i="8" s="1"/>
  <c r="H448" i="8"/>
  <c r="J448" i="8" s="1"/>
  <c r="H455" i="8"/>
  <c r="J455" i="8" s="1"/>
  <c r="H454" i="8"/>
  <c r="J454" i="8" s="1"/>
  <c r="H452" i="8"/>
  <c r="J452" i="8" s="1"/>
  <c r="H451" i="8"/>
  <c r="I451" i="8" s="1"/>
  <c r="H449" i="8"/>
  <c r="J449" i="8" s="1"/>
  <c r="H450" i="8"/>
  <c r="J450" i="8" s="1"/>
  <c r="H437" i="8"/>
  <c r="J437" i="8" s="1"/>
  <c r="H446" i="8"/>
  <c r="J446" i="8" s="1"/>
  <c r="H445" i="8"/>
  <c r="J445" i="8" s="1"/>
  <c r="H342" i="8"/>
  <c r="J342" i="8" s="1"/>
  <c r="H343" i="8"/>
  <c r="J343" i="8" s="1"/>
  <c r="H225" i="8"/>
  <c r="I225" i="8" s="1"/>
  <c r="H226" i="8"/>
  <c r="J226" i="8" s="1"/>
  <c r="H196" i="8"/>
  <c r="J196" i="8" s="1"/>
  <c r="H197" i="8"/>
  <c r="J197" i="8" s="1"/>
  <c r="H151" i="8"/>
  <c r="J151" i="8" s="1"/>
  <c r="H152" i="8"/>
  <c r="J152" i="8" s="1"/>
  <c r="H121" i="8"/>
  <c r="J121" i="8" s="1"/>
  <c r="H122" i="8"/>
  <c r="J122" i="8" s="1"/>
  <c r="H109" i="8"/>
  <c r="I109" i="8" s="1"/>
  <c r="H110" i="8"/>
  <c r="J110" i="8" s="1"/>
  <c r="H67" i="8"/>
  <c r="J67" i="8" s="1"/>
  <c r="H68" i="8"/>
  <c r="J68" i="8" s="1"/>
  <c r="H47" i="8"/>
  <c r="J47" i="8" s="1"/>
  <c r="H46" i="8"/>
  <c r="J46" i="8" s="1"/>
  <c r="H444" i="8"/>
  <c r="J444" i="8" s="1"/>
  <c r="H442" i="8"/>
  <c r="J442" i="8" s="1"/>
  <c r="H443" i="8"/>
  <c r="I443" i="8" s="1"/>
  <c r="H441" i="8"/>
  <c r="J441" i="8" s="1"/>
  <c r="H438" i="8"/>
  <c r="J438" i="8" s="1"/>
  <c r="H427" i="8"/>
  <c r="J427" i="8" s="1"/>
  <c r="H405" i="8"/>
  <c r="J405" i="8" s="1"/>
  <c r="H436" i="8"/>
  <c r="J436" i="8" s="1"/>
  <c r="H435" i="8"/>
  <c r="J435" i="8" s="1"/>
  <c r="H429" i="8"/>
  <c r="J429" i="8" s="1"/>
  <c r="H434" i="8"/>
  <c r="I434" i="8" s="1"/>
  <c r="H433" i="8"/>
  <c r="J433" i="8" s="1"/>
  <c r="H432" i="8"/>
  <c r="J432" i="8" s="1"/>
  <c r="H431" i="8"/>
  <c r="J431" i="8" s="1"/>
  <c r="H430" i="8"/>
  <c r="J430" i="8" s="1"/>
  <c r="H428" i="8"/>
  <c r="J428" i="8" s="1"/>
  <c r="H426" i="8"/>
  <c r="J426" i="8" s="1"/>
  <c r="H425" i="8"/>
  <c r="J425" i="8" s="1"/>
  <c r="H411" i="8"/>
  <c r="I411" i="8" s="1"/>
  <c r="H410" i="8"/>
  <c r="J410" i="8" s="1"/>
  <c r="H399" i="8"/>
  <c r="J399" i="8" s="1"/>
  <c r="H397" i="8"/>
  <c r="J397" i="8" s="1"/>
  <c r="H380" i="8"/>
  <c r="J380" i="8" s="1"/>
  <c r="H379" i="8"/>
  <c r="J379" i="8" s="1"/>
  <c r="H363" i="8"/>
  <c r="J363" i="8" s="1"/>
  <c r="H362" i="8"/>
  <c r="J362" i="8" s="1"/>
  <c r="H340" i="8"/>
  <c r="J340" i="8" s="1"/>
  <c r="H341" i="8"/>
  <c r="J341" i="8" s="1"/>
  <c r="H318" i="8"/>
  <c r="J318" i="8" s="1"/>
  <c r="H319" i="8"/>
  <c r="J319" i="8" s="1"/>
  <c r="H424" i="8"/>
  <c r="J424" i="8" s="1"/>
  <c r="H421" i="8"/>
  <c r="J421" i="8" s="1"/>
  <c r="H420" i="8"/>
  <c r="J420" i="8" s="1"/>
  <c r="H398" i="8"/>
  <c r="J398" i="8" s="1"/>
  <c r="H393" i="8"/>
  <c r="I393" i="8" s="1"/>
  <c r="H423" i="8"/>
  <c r="J423" i="8" s="1"/>
  <c r="H422" i="8"/>
  <c r="J422" i="8" s="1"/>
  <c r="H418" i="8"/>
  <c r="J418" i="8" s="1"/>
  <c r="H419" i="8"/>
  <c r="J419" i="8" s="1"/>
  <c r="H417" i="8"/>
  <c r="J417" i="8" s="1"/>
  <c r="H416" i="8"/>
  <c r="J416" i="8" s="1"/>
  <c r="H415" i="8"/>
  <c r="J415" i="8" s="1"/>
  <c r="H414" i="8"/>
  <c r="I414" i="8" s="1"/>
  <c r="H413" i="8"/>
  <c r="J413" i="8" s="1"/>
  <c r="H412" i="8"/>
  <c r="J412" i="8" s="1"/>
  <c r="H409" i="8"/>
  <c r="J409" i="8" s="1"/>
  <c r="H408" i="8"/>
  <c r="J408" i="8" s="1"/>
  <c r="H406" i="8"/>
  <c r="J406" i="8" s="1"/>
  <c r="H407" i="8"/>
  <c r="J407" i="8" s="1"/>
  <c r="H404" i="8"/>
  <c r="J404" i="8" s="1"/>
  <c r="H401" i="8"/>
  <c r="I401" i="8" s="1"/>
  <c r="H403" i="8"/>
  <c r="J403" i="8" s="1"/>
  <c r="H402" i="8"/>
  <c r="J402" i="8" s="1"/>
  <c r="H394" i="8"/>
  <c r="J394" i="8" s="1"/>
  <c r="H386" i="8"/>
  <c r="J386" i="8" s="1"/>
  <c r="H367" i="8"/>
  <c r="J367" i="8" s="1"/>
  <c r="H350" i="8"/>
  <c r="J350" i="8" s="1"/>
  <c r="H387" i="8"/>
  <c r="J387" i="8" s="1"/>
  <c r="H400" i="8"/>
  <c r="I400" i="8" s="1"/>
  <c r="H396" i="8"/>
  <c r="J396" i="8" s="1"/>
  <c r="H395" i="8"/>
  <c r="J395" i="8" s="1"/>
  <c r="H373" i="8"/>
  <c r="J373" i="8" s="1"/>
  <c r="H356" i="8"/>
  <c r="J356" i="8" s="1"/>
  <c r="H332" i="8"/>
  <c r="J332" i="8" s="1"/>
  <c r="H314" i="8"/>
  <c r="J314" i="8" s="1"/>
  <c r="H388" i="8"/>
  <c r="J388" i="8" s="1"/>
  <c r="H392" i="8"/>
  <c r="I392" i="8" s="1"/>
  <c r="H372" i="8"/>
  <c r="J372" i="8" s="1"/>
  <c r="H370" i="8"/>
  <c r="J370" i="8" s="1"/>
  <c r="H391" i="8"/>
  <c r="J391" i="8" s="1"/>
  <c r="H390" i="8"/>
  <c r="J390" i="8" s="1"/>
  <c r="H389" i="8"/>
  <c r="J389" i="8" s="1"/>
  <c r="H366" i="8"/>
  <c r="J366" i="8" s="1"/>
  <c r="H383" i="8"/>
  <c r="J383" i="8" s="1"/>
  <c r="H384" i="8"/>
  <c r="I384" i="8" s="1"/>
  <c r="H385" i="8"/>
  <c r="J385" i="8" s="1"/>
  <c r="H368" i="8"/>
  <c r="J368" i="8" s="1"/>
  <c r="H351" i="8"/>
  <c r="J351" i="8" s="1"/>
  <c r="H327" i="8"/>
  <c r="J327" i="8" s="1"/>
  <c r="H382" i="8"/>
  <c r="J382" i="8" s="1"/>
  <c r="H381" i="8"/>
  <c r="J381" i="8" s="1"/>
  <c r="H378" i="8"/>
  <c r="J378" i="8" s="1"/>
  <c r="H376" i="8"/>
  <c r="I376" i="8" s="1"/>
  <c r="H377" i="8"/>
  <c r="J377" i="8" s="1"/>
  <c r="H375" i="8"/>
  <c r="J375" i="8" s="1"/>
  <c r="H374" i="8"/>
  <c r="J374" i="8" s="1"/>
  <c r="H371" i="8"/>
  <c r="J371" i="8" s="1"/>
  <c r="H369" i="8"/>
  <c r="J369" i="8" s="1"/>
  <c r="H359" i="8"/>
  <c r="J359" i="8" s="1"/>
  <c r="H365" i="8"/>
  <c r="J365" i="8" s="1"/>
  <c r="H364" i="8"/>
  <c r="J364" i="8" s="1"/>
  <c r="H358" i="8"/>
  <c r="J358" i="8" s="1"/>
  <c r="H361" i="8"/>
  <c r="J361" i="8" s="1"/>
  <c r="H360" i="8"/>
  <c r="J360" i="8" s="1"/>
  <c r="H335" i="8"/>
  <c r="J335" i="8" s="1"/>
  <c r="H316" i="8"/>
  <c r="J316" i="8" s="1"/>
  <c r="H297" i="8"/>
  <c r="J297" i="8" s="1"/>
  <c r="H279" i="8"/>
  <c r="J279" i="8" s="1"/>
  <c r="H263" i="8"/>
  <c r="I263" i="8" s="1"/>
  <c r="H248" i="8"/>
  <c r="J248" i="8" s="1"/>
  <c r="H357" i="8"/>
  <c r="J357" i="8" s="1"/>
  <c r="H355" i="8"/>
  <c r="J355" i="8" s="1"/>
  <c r="H354" i="8"/>
  <c r="J354" i="8" s="1"/>
  <c r="H352" i="8"/>
  <c r="J352" i="8" s="1"/>
  <c r="H333" i="8"/>
  <c r="J333" i="8" s="1"/>
  <c r="H315" i="8"/>
  <c r="J315" i="8" s="1"/>
  <c r="H296" i="8"/>
  <c r="I296" i="8" s="1"/>
  <c r="H280" i="8"/>
  <c r="J280" i="8" s="1"/>
  <c r="H262" i="8"/>
  <c r="J262" i="8" s="1"/>
  <c r="H247" i="8"/>
  <c r="J247" i="8" s="1"/>
  <c r="H353" i="8"/>
  <c r="J353" i="8" s="1"/>
  <c r="H338" i="8"/>
  <c r="J338" i="8" s="1"/>
  <c r="H337" i="8"/>
  <c r="J337" i="8" s="1"/>
  <c r="H349" i="8"/>
  <c r="J349" i="8" s="1"/>
  <c r="H348" i="8"/>
  <c r="I348" i="8" s="1"/>
  <c r="H344" i="8"/>
  <c r="J344" i="8" s="1"/>
  <c r="H334" i="8"/>
  <c r="J334" i="8" s="1"/>
  <c r="H321" i="8"/>
  <c r="J321" i="8" s="1"/>
  <c r="H347" i="8"/>
  <c r="J347" i="8" s="1"/>
  <c r="H345" i="8"/>
  <c r="J345" i="8" s="1"/>
  <c r="H346" i="8"/>
  <c r="J346" i="8" s="1"/>
  <c r="H295" i="8"/>
  <c r="J295" i="8" s="1"/>
  <c r="H339" i="8"/>
  <c r="I339" i="8" s="1"/>
  <c r="H336" i="8"/>
  <c r="J336" i="8" s="1"/>
  <c r="H328" i="8"/>
  <c r="J328" i="8" s="1"/>
  <c r="H308" i="8"/>
  <c r="J308" i="8" s="1"/>
  <c r="H330" i="8"/>
  <c r="J330" i="8" s="1"/>
  <c r="H331" i="8"/>
  <c r="J331" i="8" s="1"/>
  <c r="H329" i="8"/>
  <c r="J329" i="8" s="1"/>
  <c r="H302" i="8"/>
  <c r="J302" i="8" s="1"/>
  <c r="H317" i="8"/>
  <c r="I317" i="8" s="1"/>
  <c r="H306" i="8"/>
  <c r="J306" i="8" s="1"/>
  <c r="H284" i="8"/>
  <c r="J284" i="8" s="1"/>
  <c r="H283" i="8"/>
  <c r="J283" i="8" s="1"/>
  <c r="H322" i="8"/>
  <c r="J322" i="8" s="1"/>
  <c r="H301" i="8"/>
  <c r="J301" i="8" s="1"/>
  <c r="H290" i="8"/>
  <c r="J290" i="8" s="1"/>
  <c r="H282" i="8"/>
  <c r="J282" i="8" s="1"/>
  <c r="H300" i="8"/>
  <c r="I300" i="8" s="1"/>
  <c r="H281" i="8"/>
  <c r="J281" i="8" s="1"/>
  <c r="H326" i="8"/>
  <c r="J326" i="8" s="1"/>
  <c r="H325" i="8"/>
  <c r="J325" i="8" s="1"/>
  <c r="H324" i="8"/>
  <c r="J324" i="8" s="1"/>
  <c r="H323" i="8"/>
  <c r="J323" i="8" s="1"/>
  <c r="H320" i="8"/>
  <c r="J320" i="8" s="1"/>
  <c r="H310" i="8"/>
  <c r="J310" i="8" s="1"/>
  <c r="H313" i="8"/>
  <c r="I313" i="8" s="1"/>
  <c r="H311" i="8"/>
  <c r="J311" i="8" s="1"/>
  <c r="H312" i="8"/>
  <c r="J312" i="8" s="1"/>
  <c r="H309" i="8"/>
  <c r="J309" i="8" s="1"/>
  <c r="H305" i="8"/>
  <c r="J305" i="8" s="1"/>
  <c r="H307" i="8"/>
  <c r="J307" i="8" s="1"/>
  <c r="H304" i="8"/>
  <c r="J304" i="8" s="1"/>
  <c r="H303" i="8"/>
  <c r="J303" i="8" s="1"/>
  <c r="H299" i="8"/>
  <c r="J299" i="8" s="1"/>
  <c r="H298" i="8"/>
  <c r="J298" i="8" s="1"/>
  <c r="H294" i="8"/>
  <c r="J294" i="8" s="1"/>
  <c r="H293" i="8"/>
  <c r="J293" i="8" s="1"/>
  <c r="H292" i="8"/>
  <c r="J292" i="8" s="1"/>
  <c r="H291" i="8"/>
  <c r="J291" i="8" s="1"/>
  <c r="H288" i="8"/>
  <c r="J288" i="8" s="1"/>
  <c r="H289" i="8"/>
  <c r="J289" i="8" s="1"/>
  <c r="H286" i="8"/>
  <c r="I286" i="8" s="1"/>
  <c r="H287" i="8"/>
  <c r="J287" i="8" s="1"/>
  <c r="H285" i="8"/>
  <c r="J285" i="8" s="1"/>
  <c r="H234" i="8"/>
  <c r="J234" i="8" s="1"/>
  <c r="H277" i="8"/>
  <c r="J277" i="8" s="1"/>
  <c r="H278" i="8"/>
  <c r="J278" i="8" s="1"/>
  <c r="H276" i="8"/>
  <c r="J276" i="8" s="1"/>
  <c r="H275" i="8"/>
  <c r="J275" i="8" s="1"/>
  <c r="H264" i="8"/>
  <c r="I264" i="8" s="1"/>
  <c r="H268" i="8"/>
  <c r="J268" i="8" s="1"/>
  <c r="H267" i="8"/>
  <c r="J267" i="8" s="1"/>
  <c r="H266" i="8"/>
  <c r="J266" i="8" s="1"/>
  <c r="H274" i="8"/>
  <c r="J274" i="8" s="1"/>
  <c r="H271" i="8"/>
  <c r="J271" i="8" s="1"/>
  <c r="H273" i="8"/>
  <c r="J273" i="8" s="1"/>
  <c r="H272" i="8"/>
  <c r="J272" i="8" s="1"/>
  <c r="H270" i="8"/>
  <c r="I270" i="8" s="1"/>
  <c r="H269" i="8"/>
  <c r="J269" i="8" s="1"/>
  <c r="H265" i="8"/>
  <c r="J265" i="8" s="1"/>
  <c r="H261" i="8"/>
  <c r="J261" i="8" s="1"/>
  <c r="H251" i="8"/>
  <c r="J251" i="8" s="1"/>
  <c r="H259" i="8"/>
  <c r="J259" i="8" s="1"/>
  <c r="H249" i="8"/>
  <c r="J249" i="8" s="1"/>
  <c r="H229" i="8"/>
  <c r="J229" i="8" s="1"/>
  <c r="H252" i="8"/>
  <c r="I252" i="8" s="1"/>
  <c r="H235" i="8"/>
  <c r="J235" i="8" s="1"/>
  <c r="H244" i="8"/>
  <c r="J244" i="8" s="1"/>
  <c r="H233" i="8"/>
  <c r="J233" i="8" s="1"/>
  <c r="H250" i="8"/>
  <c r="J250" i="8" s="1"/>
  <c r="H232" i="8"/>
  <c r="J232" i="8" s="1"/>
  <c r="H257" i="8"/>
  <c r="J257" i="8" s="1"/>
  <c r="H258" i="8"/>
  <c r="J258" i="8" s="1"/>
  <c r="H260" i="8"/>
  <c r="I260" i="8" s="1"/>
  <c r="H256" i="8"/>
  <c r="J256" i="8" s="1"/>
  <c r="H240" i="8"/>
  <c r="J240" i="8" s="1"/>
  <c r="H255" i="8"/>
  <c r="J255" i="8" s="1"/>
  <c r="H254" i="8"/>
  <c r="J254" i="8" s="1"/>
  <c r="H253" i="8"/>
  <c r="J253" i="8" s="1"/>
  <c r="H241" i="8"/>
  <c r="J241" i="8" s="1"/>
  <c r="H243" i="8"/>
  <c r="J243" i="8" s="1"/>
  <c r="H242" i="8"/>
  <c r="I242" i="8" s="1"/>
  <c r="H246" i="8"/>
  <c r="J246" i="8" s="1"/>
  <c r="H245" i="8"/>
  <c r="J245" i="8" s="1"/>
  <c r="H239" i="8"/>
  <c r="J239" i="8" s="1"/>
  <c r="H238" i="8"/>
  <c r="J238" i="8" s="1"/>
  <c r="H237" i="8"/>
  <c r="J237" i="8" s="1"/>
  <c r="H236" i="8"/>
  <c r="J236" i="8" s="1"/>
  <c r="H227" i="8"/>
  <c r="J227" i="8" s="1"/>
  <c r="H230" i="8"/>
  <c r="I230" i="8" s="1"/>
  <c r="H231" i="8"/>
  <c r="J231" i="8" s="1"/>
  <c r="H228" i="8"/>
  <c r="J228" i="8" s="1"/>
  <c r="H224" i="8"/>
  <c r="J224" i="8" s="1"/>
  <c r="H215" i="8"/>
  <c r="J215" i="8" s="1"/>
  <c r="H223" i="8"/>
  <c r="J223" i="8" s="1"/>
  <c r="H222" i="8"/>
  <c r="J222" i="8" s="1"/>
  <c r="H221" i="8"/>
  <c r="J221" i="8" s="1"/>
  <c r="H216" i="8"/>
  <c r="J216" i="8" s="1"/>
  <c r="H217" i="8"/>
  <c r="J217" i="8" s="1"/>
  <c r="H213" i="8"/>
  <c r="J213" i="8" s="1"/>
  <c r="H214" i="8"/>
  <c r="J214" i="8" s="1"/>
  <c r="H220" i="8"/>
  <c r="J220" i="8" s="1"/>
  <c r="H212" i="8"/>
  <c r="J212" i="8" s="1"/>
  <c r="H219" i="8"/>
  <c r="J219" i="8" s="1"/>
  <c r="H218" i="8"/>
  <c r="J218" i="8" s="1"/>
  <c r="H210" i="8"/>
  <c r="I210" i="8" s="1"/>
  <c r="H211" i="8"/>
  <c r="J211" i="8" s="1"/>
  <c r="H207" i="8"/>
  <c r="J207" i="8" s="1"/>
  <c r="H208" i="8"/>
  <c r="J208" i="8" s="1"/>
  <c r="H209" i="8"/>
  <c r="J209" i="8" s="1"/>
  <c r="H206" i="8"/>
  <c r="J206" i="8" s="1"/>
  <c r="H205" i="8"/>
  <c r="J205" i="8" s="1"/>
  <c r="H200" i="8"/>
  <c r="J200" i="8" s="1"/>
  <c r="H193" i="8"/>
  <c r="I193" i="8" s="1"/>
  <c r="H204" i="8"/>
  <c r="J204" i="8" s="1"/>
  <c r="H201" i="8"/>
  <c r="J201" i="8" s="1"/>
  <c r="H199" i="8"/>
  <c r="J199" i="8" s="1"/>
  <c r="H198" i="8"/>
  <c r="J198" i="8" s="1"/>
  <c r="H189" i="8"/>
  <c r="J189" i="8" s="1"/>
  <c r="H186" i="8"/>
  <c r="J186" i="8" s="1"/>
  <c r="H187" i="8"/>
  <c r="J187" i="8" s="1"/>
  <c r="H203" i="8"/>
  <c r="I203" i="8" s="1"/>
  <c r="H202" i="8"/>
  <c r="J202" i="8" s="1"/>
  <c r="H195" i="8"/>
  <c r="J195" i="8" s="1"/>
  <c r="H194" i="8"/>
  <c r="J194" i="8" s="1"/>
  <c r="H192" i="8"/>
  <c r="J192" i="8" s="1"/>
  <c r="H191" i="8"/>
  <c r="J191" i="8" s="1"/>
  <c r="H190" i="8"/>
  <c r="J190" i="8" s="1"/>
  <c r="H185" i="8"/>
  <c r="J185" i="8" s="1"/>
  <c r="H188" i="8"/>
  <c r="I188" i="8" s="1"/>
  <c r="H184" i="8"/>
  <c r="J184" i="8" s="1"/>
  <c r="H183" i="8"/>
  <c r="J183" i="8" s="1"/>
  <c r="H182" i="8"/>
  <c r="J182" i="8" s="1"/>
  <c r="H174" i="8"/>
  <c r="J174" i="8" s="1"/>
  <c r="H181" i="8"/>
  <c r="J181" i="8" s="1"/>
  <c r="H180" i="8"/>
  <c r="J180" i="8" s="1"/>
  <c r="H179" i="8"/>
  <c r="J179" i="8" s="1"/>
  <c r="H175" i="8"/>
  <c r="I175" i="8" s="1"/>
  <c r="H173" i="8"/>
  <c r="J173" i="8" s="1"/>
  <c r="H160" i="8"/>
  <c r="J160" i="8" s="1"/>
  <c r="H147" i="8"/>
  <c r="J147" i="8" s="1"/>
  <c r="H170" i="8"/>
  <c r="J170" i="8" s="1"/>
  <c r="H168" i="8"/>
  <c r="J168" i="8" s="1"/>
  <c r="H155" i="8"/>
  <c r="J155" i="8" s="1"/>
  <c r="H145" i="8"/>
  <c r="J145" i="8" s="1"/>
  <c r="H165" i="8"/>
  <c r="I165" i="8" s="1"/>
  <c r="H154" i="8"/>
  <c r="J154" i="8" s="1"/>
  <c r="H144" i="8"/>
  <c r="J144" i="8" s="1"/>
  <c r="H178" i="8"/>
  <c r="J178" i="8" s="1"/>
  <c r="H177" i="8"/>
  <c r="J177" i="8" s="1"/>
  <c r="H176" i="8"/>
  <c r="J176" i="8" s="1"/>
  <c r="H172" i="8"/>
  <c r="J172" i="8" s="1"/>
  <c r="H171" i="8"/>
  <c r="J171" i="8" s="1"/>
  <c r="H169" i="8"/>
  <c r="I169" i="8" s="1"/>
  <c r="H167" i="8"/>
  <c r="J167" i="8" s="1"/>
  <c r="H166" i="8"/>
  <c r="J166" i="8" s="1"/>
  <c r="H164" i="8"/>
  <c r="J164" i="8" s="1"/>
  <c r="H161" i="8"/>
  <c r="J161" i="8" s="1"/>
  <c r="H163" i="8"/>
  <c r="J163" i="8" s="1"/>
  <c r="H162" i="8"/>
  <c r="J162" i="8" s="1"/>
  <c r="H148" i="8"/>
  <c r="J148" i="8" s="1"/>
  <c r="H153" i="8"/>
  <c r="J153" i="8" s="1"/>
  <c r="H149" i="8"/>
  <c r="J149" i="8" s="1"/>
  <c r="H159" i="8"/>
  <c r="J159" i="8" s="1"/>
  <c r="H158" i="8"/>
  <c r="J158" i="8" s="1"/>
  <c r="H157" i="8"/>
  <c r="J157" i="8" s="1"/>
  <c r="H156" i="8"/>
  <c r="J156" i="8" s="1"/>
  <c r="H150" i="8"/>
  <c r="J150" i="8" s="1"/>
  <c r="H139" i="8"/>
  <c r="J139" i="8" s="1"/>
  <c r="H146" i="8"/>
  <c r="I146" i="8" s="1"/>
  <c r="H142" i="8"/>
  <c r="J142" i="8" s="1"/>
  <c r="H137" i="8"/>
  <c r="J137" i="8" s="1"/>
  <c r="H136" i="8"/>
  <c r="J136" i="8" s="1"/>
  <c r="H135" i="8"/>
  <c r="J135" i="8" s="1"/>
  <c r="H134" i="8"/>
  <c r="J134" i="8" s="1"/>
  <c r="H143" i="8"/>
  <c r="J143" i="8" s="1"/>
  <c r="H140" i="8"/>
  <c r="J140" i="8" s="1"/>
  <c r="H141" i="8"/>
  <c r="I141" i="8" s="1"/>
  <c r="H138" i="8"/>
  <c r="J138" i="8" s="1"/>
  <c r="H132" i="8"/>
  <c r="J132" i="8" s="1"/>
  <c r="H131" i="8"/>
  <c r="J131" i="8" s="1"/>
  <c r="H133" i="8"/>
  <c r="J133" i="8" s="1"/>
  <c r="H130" i="8"/>
  <c r="J130" i="8" s="1"/>
  <c r="H127" i="8"/>
  <c r="J127" i="8" s="1"/>
  <c r="H129" i="8"/>
  <c r="J129" i="8" s="1"/>
  <c r="H128" i="8"/>
  <c r="I128" i="8" s="1"/>
  <c r="H126" i="8"/>
  <c r="J126" i="8" s="1"/>
  <c r="H125" i="8"/>
  <c r="J125" i="8" s="1"/>
  <c r="H124" i="8"/>
  <c r="J124" i="8" s="1"/>
  <c r="H123" i="8"/>
  <c r="J123" i="8" s="1"/>
  <c r="H119" i="8"/>
  <c r="J119" i="8" s="1"/>
  <c r="H118" i="8"/>
  <c r="J118" i="8" s="1"/>
  <c r="H117" i="8"/>
  <c r="J117" i="8" s="1"/>
  <c r="H120" i="8"/>
  <c r="I120" i="8" s="1"/>
  <c r="H116" i="8"/>
  <c r="J116" i="8" s="1"/>
  <c r="H115" i="8"/>
  <c r="J115" i="8" s="1"/>
  <c r="H114" i="8"/>
  <c r="J114" i="8" s="1"/>
  <c r="H113" i="8"/>
  <c r="J113" i="8" s="1"/>
  <c r="H111" i="8"/>
  <c r="J111" i="8" s="1"/>
  <c r="H112" i="8"/>
  <c r="J112" i="8" s="1"/>
  <c r="H105" i="8"/>
  <c r="J105" i="8" s="1"/>
  <c r="H108" i="8"/>
  <c r="I108" i="8" s="1"/>
  <c r="H107" i="8"/>
  <c r="J107" i="8" s="1"/>
  <c r="H106" i="8"/>
  <c r="J106" i="8" s="1"/>
  <c r="H99" i="8"/>
  <c r="J99" i="8" s="1"/>
  <c r="H104" i="8"/>
  <c r="J104" i="8" s="1"/>
  <c r="H103" i="8"/>
  <c r="J103" i="8" s="1"/>
  <c r="H102" i="8"/>
  <c r="J102" i="8" s="1"/>
  <c r="H101" i="8"/>
  <c r="J101" i="8" s="1"/>
  <c r="H100" i="8"/>
  <c r="I100" i="8" s="1"/>
  <c r="H98" i="8"/>
  <c r="J98" i="8" s="1"/>
  <c r="H97" i="8"/>
  <c r="J97" i="8" s="1"/>
  <c r="H96" i="8"/>
  <c r="J96" i="8" s="1"/>
  <c r="H88" i="8"/>
  <c r="J88" i="8" s="1"/>
  <c r="H95" i="8"/>
  <c r="J95" i="8" s="1"/>
  <c r="H82" i="8"/>
  <c r="J82" i="8" s="1"/>
  <c r="H93" i="8"/>
  <c r="J93" i="8" s="1"/>
  <c r="H81" i="8"/>
  <c r="I81" i="8" s="1"/>
  <c r="H94" i="8"/>
  <c r="J94" i="8" s="1"/>
  <c r="H92" i="8"/>
  <c r="J92" i="8" s="1"/>
  <c r="H91" i="8"/>
  <c r="J91" i="8" s="1"/>
  <c r="H90" i="8"/>
  <c r="J90" i="8" s="1"/>
  <c r="H78" i="8"/>
  <c r="J78" i="8" s="1"/>
  <c r="H79" i="8"/>
  <c r="J79" i="8" s="1"/>
  <c r="H89" i="8"/>
  <c r="J89" i="8" s="1"/>
  <c r="H87" i="8"/>
  <c r="J87" i="8" s="1"/>
  <c r="H86" i="8"/>
  <c r="J86" i="8" s="1"/>
  <c r="H85" i="8"/>
  <c r="J85" i="8" s="1"/>
  <c r="H84" i="8"/>
  <c r="J84" i="8" s="1"/>
  <c r="H80" i="8"/>
  <c r="J80" i="8" s="1"/>
  <c r="H69" i="8"/>
  <c r="J69" i="8" s="1"/>
  <c r="H83" i="8"/>
  <c r="J83" i="8" s="1"/>
  <c r="H76" i="8"/>
  <c r="J76" i="8" s="1"/>
  <c r="H77" i="8"/>
  <c r="I77" i="8" s="1"/>
  <c r="H75" i="8"/>
  <c r="J75" i="8" s="1"/>
  <c r="H74" i="8"/>
  <c r="J74" i="8" s="1"/>
  <c r="H73" i="8"/>
  <c r="J73" i="8" s="1"/>
  <c r="H72" i="8"/>
  <c r="J72" i="8" s="1"/>
  <c r="H71" i="8"/>
  <c r="J71" i="8" s="1"/>
  <c r="H70" i="8"/>
  <c r="J70" i="8" s="1"/>
  <c r="H66" i="8"/>
  <c r="J66" i="8" s="1"/>
  <c r="H65" i="8"/>
  <c r="I65" i="8" s="1"/>
  <c r="H64" i="8"/>
  <c r="J64" i="8" s="1"/>
  <c r="H62" i="8"/>
  <c r="J62" i="8" s="1"/>
  <c r="H60" i="8"/>
  <c r="J60" i="8" s="1"/>
  <c r="H59" i="8"/>
  <c r="J59" i="8" s="1"/>
  <c r="H58" i="8"/>
  <c r="J58" i="8" s="1"/>
  <c r="H63" i="8"/>
  <c r="J63" i="8" s="1"/>
  <c r="H61" i="8"/>
  <c r="J61" i="8" s="1"/>
  <c r="H57" i="8"/>
  <c r="I57" i="8" s="1"/>
  <c r="H56" i="8"/>
  <c r="J56" i="8" s="1"/>
  <c r="H55" i="8"/>
  <c r="J55" i="8" s="1"/>
  <c r="H54" i="8"/>
  <c r="J54" i="8" s="1"/>
  <c r="H45" i="8"/>
  <c r="J45" i="8" s="1"/>
  <c r="H53" i="8"/>
  <c r="J53" i="8" s="1"/>
  <c r="H51" i="8"/>
  <c r="J51" i="8" s="1"/>
  <c r="H50" i="8"/>
  <c r="J50" i="8" s="1"/>
  <c r="H49" i="8"/>
  <c r="I49" i="8" s="1"/>
  <c r="H48" i="8"/>
  <c r="J48" i="8" s="1"/>
  <c r="H52" i="8"/>
  <c r="J52" i="8" s="1"/>
  <c r="H44" i="8"/>
  <c r="J44" i="8" s="1"/>
  <c r="H43" i="8"/>
  <c r="J43" i="8" s="1"/>
  <c r="H35" i="8"/>
  <c r="J35" i="8" s="1"/>
  <c r="H42" i="8"/>
  <c r="J42" i="8" s="1"/>
  <c r="H41" i="8"/>
  <c r="J41" i="8" s="1"/>
  <c r="H40" i="8"/>
  <c r="I40" i="8" s="1"/>
  <c r="H38" i="8"/>
  <c r="J38" i="8" s="1"/>
  <c r="H37" i="8"/>
  <c r="J37" i="8" s="1"/>
  <c r="H39" i="8"/>
  <c r="J39" i="8" s="1"/>
  <c r="H36" i="8"/>
  <c r="J36" i="8" s="1"/>
  <c r="H34" i="8"/>
  <c r="I34" i="8" s="1"/>
  <c r="H33" i="8"/>
  <c r="J33" i="8" s="1"/>
  <c r="H24" i="8"/>
  <c r="J24" i="8" s="1"/>
  <c r="H23" i="8"/>
  <c r="I23" i="8" s="1"/>
  <c r="H32" i="8"/>
  <c r="J32" i="8" s="1"/>
  <c r="H31" i="8"/>
  <c r="J31" i="8" s="1"/>
  <c r="H30" i="8"/>
  <c r="J30" i="8" s="1"/>
  <c r="H29" i="8"/>
  <c r="J29" i="8" s="1"/>
  <c r="H28" i="8"/>
  <c r="J28" i="8" s="1"/>
  <c r="H27" i="8"/>
  <c r="J27" i="8" s="1"/>
  <c r="H26" i="8"/>
  <c r="J26" i="8" s="1"/>
  <c r="H25" i="8"/>
  <c r="I25" i="8" s="1"/>
  <c r="H21" i="8"/>
  <c r="J21" i="8" s="1"/>
  <c r="H22" i="8"/>
  <c r="J22" i="8" s="1"/>
  <c r="H20" i="8"/>
  <c r="J20" i="8" s="1"/>
  <c r="H19" i="8"/>
  <c r="J19" i="8" s="1"/>
  <c r="H18" i="8"/>
  <c r="J18" i="8" s="1"/>
  <c r="H17" i="8"/>
  <c r="J17" i="8" s="1"/>
  <c r="H16" i="8"/>
  <c r="J16" i="8" s="1"/>
  <c r="H15" i="8"/>
  <c r="I15" i="8" s="1"/>
  <c r="H14" i="8"/>
  <c r="J14" i="8" s="1"/>
  <c r="H13" i="8"/>
  <c r="J13" i="8" s="1"/>
  <c r="H12" i="8"/>
  <c r="J12" i="8" s="1"/>
  <c r="H11" i="8"/>
  <c r="J11" i="8" s="1"/>
  <c r="H10" i="8"/>
  <c r="J10" i="8" s="1"/>
  <c r="H9" i="8"/>
  <c r="J9" i="8" s="1"/>
  <c r="H8" i="8"/>
  <c r="J8" i="8" s="1"/>
  <c r="H7" i="8"/>
  <c r="I7" i="8" s="1"/>
  <c r="H6" i="8"/>
  <c r="J6" i="8" s="1"/>
  <c r="H5" i="8"/>
  <c r="J5" i="8" s="1"/>
  <c r="H4" i="8"/>
  <c r="J4" i="8" s="1"/>
  <c r="H3" i="8"/>
  <c r="J3" i="8" s="1"/>
  <c r="H2" i="8"/>
  <c r="H80" i="9"/>
  <c r="I80" i="9"/>
  <c r="I3" i="9"/>
  <c r="I4" i="9"/>
  <c r="I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2" i="9"/>
  <c r="H6" i="9"/>
  <c r="H5" i="9"/>
  <c r="H4" i="9"/>
  <c r="H3"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2" i="9"/>
  <c r="C610" i="8" a="1"/>
  <c r="C610" i="8" s="1"/>
  <c r="C609" i="8" a="1"/>
  <c r="C609" i="8" s="1"/>
  <c r="C608" i="8" a="1"/>
  <c r="C608" i="8" s="1"/>
  <c r="C582" i="8" a="1"/>
  <c r="C582" i="8" s="1"/>
  <c r="C605" i="8" a="1"/>
  <c r="C605" i="8" s="1"/>
  <c r="C604" i="8" a="1"/>
  <c r="C604" i="8" s="1"/>
  <c r="C603" i="8" a="1"/>
  <c r="C603" i="8" s="1"/>
  <c r="C602" i="8" a="1"/>
  <c r="C602" i="8" s="1"/>
  <c r="C600" i="8" a="1"/>
  <c r="C600" i="8" s="1"/>
  <c r="C601" i="8" a="1"/>
  <c r="C601" i="8" s="1"/>
  <c r="C596" i="8" a="1"/>
  <c r="C596" i="8" s="1"/>
  <c r="C593" i="8" a="1"/>
  <c r="C593" i="8" s="1"/>
  <c r="C570" i="8" a="1"/>
  <c r="C570" i="8" s="1"/>
  <c r="C546" i="8" a="1"/>
  <c r="C546" i="8" s="1"/>
  <c r="C591" i="8" a="1"/>
  <c r="C591" i="8" s="1"/>
  <c r="C592" i="8" a="1"/>
  <c r="C592" i="8" s="1"/>
  <c r="C594" i="8" a="1"/>
  <c r="C594" i="8" s="1"/>
  <c r="C590" i="8" a="1"/>
  <c r="C590" i="8" s="1"/>
  <c r="C589" i="8" a="1"/>
  <c r="C589" i="8" s="1"/>
  <c r="C588" i="8" a="1"/>
  <c r="C588" i="8" s="1"/>
  <c r="C586" i="8" a="1"/>
  <c r="C586" i="8" s="1"/>
  <c r="C587" i="8" a="1"/>
  <c r="C587" i="8" s="1"/>
  <c r="C581" i="8" a="1"/>
  <c r="C581" i="8" s="1"/>
  <c r="C585" i="8" a="1"/>
  <c r="C585" i="8" s="1"/>
  <c r="C584" i="8" a="1"/>
  <c r="C584" i="8" s="1"/>
  <c r="C583" i="8" a="1"/>
  <c r="C583" i="8" s="1"/>
  <c r="C571" i="8" a="1"/>
  <c r="C571" i="8" s="1"/>
  <c r="C580" i="8" a="1"/>
  <c r="C580" i="8" s="1"/>
  <c r="C539" i="8" a="1"/>
  <c r="C539" i="8" s="1"/>
  <c r="C556" i="8" a="1"/>
  <c r="C556" i="8" s="1"/>
  <c r="C576" i="8" a="1"/>
  <c r="C576" i="8" s="1"/>
  <c r="C577" i="8" a="1"/>
  <c r="C577" i="8" s="1"/>
  <c r="C575" i="8" a="1"/>
  <c r="C575" i="8" s="1"/>
  <c r="C574" i="8" a="1"/>
  <c r="C574" i="8" s="1"/>
  <c r="C506" i="8" a="1"/>
  <c r="C506" i="8" s="1"/>
  <c r="C531" i="8" a="1"/>
  <c r="C531" i="8" s="1"/>
  <c r="C573" i="8" a="1"/>
  <c r="C573" i="8" s="1"/>
  <c r="C572" i="8" a="1"/>
  <c r="C572" i="8" s="1"/>
  <c r="C569" i="8" a="1"/>
  <c r="C569" i="8" s="1"/>
  <c r="C568" i="8" a="1"/>
  <c r="C568" i="8" s="1"/>
  <c r="C567" i="8" a="1"/>
  <c r="C567" i="8" s="1"/>
  <c r="C566" i="8" a="1"/>
  <c r="C566" i="8" s="1"/>
  <c r="C559" i="8" a="1"/>
  <c r="C559" i="8" s="1"/>
  <c r="C565" i="8" a="1"/>
  <c r="C565" i="8" s="1"/>
  <c r="C562" i="8" a="1"/>
  <c r="C562" i="8" s="1"/>
  <c r="C561" i="8" a="1"/>
  <c r="C561" i="8" s="1"/>
  <c r="C560" i="8" a="1"/>
  <c r="C560" i="8" s="1"/>
  <c r="C558" i="8" a="1"/>
  <c r="C558" i="8" s="1"/>
  <c r="C557" i="8" a="1"/>
  <c r="C557" i="8" s="1"/>
  <c r="C555" i="8" a="1"/>
  <c r="C555" i="8" s="1"/>
  <c r="C554" i="8" a="1"/>
  <c r="C554" i="8" s="1"/>
  <c r="C530" i="8" a="1"/>
  <c r="C530" i="8" s="1"/>
  <c r="C529" i="8" a="1"/>
  <c r="C529" i="8" s="1"/>
  <c r="C508" i="8" a="1"/>
  <c r="C508" i="8" s="1"/>
  <c r="C507" i="8" a="1"/>
  <c r="C507" i="8" s="1"/>
  <c r="C486" i="8" a="1"/>
  <c r="C486" i="8" s="1"/>
  <c r="C485" i="8" a="1"/>
  <c r="C485" i="8" s="1"/>
  <c r="C463" i="8" a="1"/>
  <c r="C463" i="8" s="1"/>
  <c r="C462" i="8" a="1"/>
  <c r="C462" i="8" s="1"/>
  <c r="C440" i="8" a="1"/>
  <c r="C440" i="8" s="1"/>
  <c r="C439" i="8" a="1"/>
  <c r="C439" i="8" s="1"/>
  <c r="C553" i="8" a="1"/>
  <c r="C553" i="8" s="1"/>
  <c r="C552" i="8" a="1"/>
  <c r="C552" i="8" s="1"/>
  <c r="C538" i="8" a="1"/>
  <c r="C538" i="8" s="1"/>
  <c r="C544" i="8" a="1"/>
  <c r="C544" i="8" s="1"/>
  <c r="C545" i="8" a="1"/>
  <c r="C545" i="8" s="1"/>
  <c r="C550" i="8" a="1"/>
  <c r="C550" i="8" s="1"/>
  <c r="C549" i="8" a="1"/>
  <c r="C549" i="8" s="1"/>
  <c r="C551" i="8" a="1"/>
  <c r="C551" i="8" s="1"/>
  <c r="C548" i="8" a="1"/>
  <c r="C548" i="8" s="1"/>
  <c r="C547" i="8" a="1"/>
  <c r="C547" i="8" s="1"/>
  <c r="C543" i="8" a="1"/>
  <c r="C543" i="8" s="1"/>
  <c r="C541" i="8" a="1"/>
  <c r="C541" i="8" s="1"/>
  <c r="C542" i="8" a="1"/>
  <c r="C542" i="8" s="1"/>
  <c r="C540" i="8" a="1"/>
  <c r="C540" i="8" s="1"/>
  <c r="C527" i="8" a="1"/>
  <c r="C527" i="8" s="1"/>
  <c r="C537" i="8" a="1"/>
  <c r="C537" i="8" s="1"/>
  <c r="C536" i="8" a="1"/>
  <c r="C536" i="8" s="1"/>
  <c r="C521" i="8" a="1"/>
  <c r="C521" i="8" s="1"/>
  <c r="C522" i="8" a="1"/>
  <c r="C522" i="8" s="1"/>
  <c r="C535" i="8" a="1"/>
  <c r="C535" i="8" s="1"/>
  <c r="C534" i="8" a="1"/>
  <c r="C534" i="8" s="1"/>
  <c r="C533" i="8" a="1"/>
  <c r="C533" i="8" s="1"/>
  <c r="C532" i="8" a="1"/>
  <c r="C532" i="8" s="1"/>
  <c r="C528" i="8" a="1"/>
  <c r="C528" i="8" s="1"/>
  <c r="C526" i="8" a="1"/>
  <c r="C526" i="8" s="1"/>
  <c r="C524" i="8" a="1"/>
  <c r="C524" i="8" s="1"/>
  <c r="C515" i="8" a="1"/>
  <c r="C515" i="8" s="1"/>
  <c r="C525" i="8" a="1"/>
  <c r="C525" i="8" s="1"/>
  <c r="C523" i="8" a="1"/>
  <c r="C523" i="8" s="1"/>
  <c r="C509" i="8" a="1"/>
  <c r="C509" i="8" s="1"/>
  <c r="C520" i="8" a="1"/>
  <c r="C520" i="8" s="1"/>
  <c r="C516" i="8" a="1"/>
  <c r="C516" i="8" s="1"/>
  <c r="C519" i="8" a="1"/>
  <c r="C519" i="8" s="1"/>
  <c r="C518" i="8" a="1"/>
  <c r="C518" i="8" s="1"/>
  <c r="C517" i="8" a="1"/>
  <c r="C517" i="8" s="1"/>
  <c r="C513" i="8" a="1"/>
  <c r="C513" i="8" s="1"/>
  <c r="C514" i="8" a="1"/>
  <c r="C514" i="8" s="1"/>
  <c r="C505" i="8" a="1"/>
  <c r="C505" i="8" s="1"/>
  <c r="C512" i="8" a="1"/>
  <c r="C512" i="8" s="1"/>
  <c r="C502" i="8" a="1"/>
  <c r="C502" i="8" s="1"/>
  <c r="C501" i="8" a="1"/>
  <c r="C501" i="8" s="1"/>
  <c r="C511" i="8" a="1"/>
  <c r="C511" i="8" s="1"/>
  <c r="C510" i="8" a="1"/>
  <c r="C510" i="8" s="1"/>
  <c r="C504" i="8" a="1"/>
  <c r="C504" i="8" s="1"/>
  <c r="C503" i="8" a="1"/>
  <c r="C503" i="8" s="1"/>
  <c r="C494" i="8" a="1"/>
  <c r="C494" i="8" s="1"/>
  <c r="C447" i="8" a="1"/>
  <c r="C447" i="8" s="1"/>
  <c r="C469" i="8" a="1"/>
  <c r="C469" i="8" s="1"/>
  <c r="C500" i="8" a="1"/>
  <c r="C500" i="8" s="1"/>
  <c r="C499" i="8" a="1"/>
  <c r="C499" i="8" s="1"/>
  <c r="C498" i="8" a="1"/>
  <c r="C498" i="8" s="1"/>
  <c r="C497" i="8" a="1"/>
  <c r="C497" i="8" s="1"/>
  <c r="C496" i="8" a="1"/>
  <c r="C496" i="8" s="1"/>
  <c r="C495" i="8" a="1"/>
  <c r="C495" i="8" s="1"/>
  <c r="C493" i="8" a="1"/>
  <c r="C493" i="8" s="1"/>
  <c r="C491" i="8" a="1"/>
  <c r="C491" i="8" s="1"/>
  <c r="C492" i="8" a="1"/>
  <c r="C492" i="8" s="1"/>
  <c r="C490" i="8" a="1"/>
  <c r="C490" i="8" s="1"/>
  <c r="C489" i="8" a="1"/>
  <c r="C489" i="8" s="1"/>
  <c r="C488" i="8" a="1"/>
  <c r="C488" i="8" s="1"/>
  <c r="C487" i="8" a="1"/>
  <c r="C487" i="8" s="1"/>
  <c r="C482" i="8" a="1"/>
  <c r="C482" i="8" s="1"/>
  <c r="C481" i="8" a="1"/>
  <c r="C481" i="8" s="1"/>
  <c r="C478" i="8" a="1"/>
  <c r="C478" i="8" s="1"/>
  <c r="C457" i="8" a="1"/>
  <c r="C457" i="8" s="1"/>
  <c r="C480" i="8" a="1"/>
  <c r="C480" i="8" s="1"/>
  <c r="C475" i="8" a="1"/>
  <c r="C475" i="8" s="1"/>
  <c r="C474" i="8" a="1"/>
  <c r="C474" i="8" s="1"/>
  <c r="C479" i="8" a="1"/>
  <c r="C479" i="8" s="1"/>
  <c r="C477" i="8" a="1"/>
  <c r="C477" i="8" s="1"/>
  <c r="C476" i="8" a="1"/>
  <c r="C476" i="8" s="1"/>
  <c r="C473" i="8" a="1"/>
  <c r="C473" i="8" s="1"/>
  <c r="C472" i="8" a="1"/>
  <c r="C472" i="8" s="1"/>
  <c r="C470" i="8" a="1"/>
  <c r="C470" i="8" s="1"/>
  <c r="C471" i="8" a="1"/>
  <c r="C471" i="8" s="1"/>
  <c r="C468" i="8" a="1"/>
  <c r="C468" i="8" s="1"/>
  <c r="C466" i="8" a="1"/>
  <c r="C466" i="8" s="1"/>
  <c r="C467" i="8" a="1"/>
  <c r="C467" i="8" s="1"/>
  <c r="C465" i="8" a="1"/>
  <c r="C465" i="8" s="1"/>
  <c r="C464" i="8" a="1"/>
  <c r="C464" i="8" s="1"/>
  <c r="C453" i="8" a="1"/>
  <c r="C453" i="8" s="1"/>
  <c r="C456" i="8" a="1"/>
  <c r="C456" i="8" s="1"/>
  <c r="C461" i="8" a="1"/>
  <c r="C461" i="8" s="1"/>
  <c r="C460" i="8" a="1"/>
  <c r="C460" i="8" s="1"/>
  <c r="C458" i="8" a="1"/>
  <c r="C458" i="8" s="1"/>
  <c r="C459" i="8" a="1"/>
  <c r="C459" i="8" s="1"/>
  <c r="C448" i="8" a="1"/>
  <c r="C448" i="8" s="1"/>
  <c r="C455" i="8" a="1"/>
  <c r="C455" i="8" s="1"/>
  <c r="C454" i="8" a="1"/>
  <c r="C454" i="8" s="1"/>
  <c r="C452" i="8" a="1"/>
  <c r="C452" i="8" s="1"/>
  <c r="C451" i="8" a="1"/>
  <c r="C451" i="8" s="1"/>
  <c r="C449" i="8" a="1"/>
  <c r="C449" i="8" s="1"/>
  <c r="C450" i="8" a="1"/>
  <c r="C450" i="8" s="1"/>
  <c r="C437" i="8" a="1"/>
  <c r="C437" i="8" s="1"/>
  <c r="C446" i="8" a="1"/>
  <c r="C446" i="8" s="1"/>
  <c r="C445" i="8" a="1"/>
  <c r="C445" i="8" s="1"/>
  <c r="C342" i="8" a="1"/>
  <c r="C342" i="8" s="1"/>
  <c r="C343" i="8" a="1"/>
  <c r="C343" i="8" s="1"/>
  <c r="C225" i="8" a="1"/>
  <c r="C225" i="8" s="1"/>
  <c r="C226" i="8" a="1"/>
  <c r="C226" i="8" s="1"/>
  <c r="C196" i="8" a="1"/>
  <c r="C196" i="8" s="1"/>
  <c r="C197" i="8" a="1"/>
  <c r="C197" i="8" s="1"/>
  <c r="C151" i="8" a="1"/>
  <c r="C151" i="8" s="1"/>
  <c r="C152" i="8" a="1"/>
  <c r="C152" i="8" s="1"/>
  <c r="C121" i="8" a="1"/>
  <c r="C121" i="8" s="1"/>
  <c r="C122" i="8" a="1"/>
  <c r="C122" i="8" s="1"/>
  <c r="C109" i="8" a="1"/>
  <c r="C109" i="8" s="1"/>
  <c r="C110" i="8" a="1"/>
  <c r="C110" i="8" s="1"/>
  <c r="C67" i="8" a="1"/>
  <c r="C67" i="8" s="1"/>
  <c r="C68" i="8" a="1"/>
  <c r="C68" i="8" s="1"/>
  <c r="C47" i="8" a="1"/>
  <c r="C47" i="8" s="1"/>
  <c r="C46" i="8" a="1"/>
  <c r="C46" i="8" s="1"/>
  <c r="C444" i="8" a="1"/>
  <c r="C444" i="8" s="1"/>
  <c r="C442" i="8" a="1"/>
  <c r="C442" i="8" s="1"/>
  <c r="C443" i="8" a="1"/>
  <c r="C443" i="8" s="1"/>
  <c r="C441" i="8" a="1"/>
  <c r="C441" i="8" s="1"/>
  <c r="C438" i="8" a="1"/>
  <c r="C438" i="8" s="1"/>
  <c r="C427" i="8" a="1"/>
  <c r="C427" i="8" s="1"/>
  <c r="C405" i="8" a="1"/>
  <c r="C405" i="8" s="1"/>
  <c r="C436" i="8" a="1"/>
  <c r="C436" i="8" s="1"/>
  <c r="C435" i="8" a="1"/>
  <c r="C435" i="8" s="1"/>
  <c r="C429" i="8" a="1"/>
  <c r="C429" i="8" s="1"/>
  <c r="C434" i="8" a="1"/>
  <c r="C434" i="8" s="1"/>
  <c r="C433" i="8" a="1"/>
  <c r="C433" i="8" s="1"/>
  <c r="C432" i="8" a="1"/>
  <c r="C432" i="8" s="1"/>
  <c r="C431" i="8" a="1"/>
  <c r="C431" i="8" s="1"/>
  <c r="C430" i="8" a="1"/>
  <c r="C430" i="8" s="1"/>
  <c r="C428" i="8" a="1"/>
  <c r="C428" i="8" s="1"/>
  <c r="C426" i="8" a="1"/>
  <c r="C426" i="8" s="1"/>
  <c r="C425" i="8" a="1"/>
  <c r="C425" i="8" s="1"/>
  <c r="C411" i="8" a="1"/>
  <c r="C411" i="8" s="1"/>
  <c r="C410" i="8" a="1"/>
  <c r="C410" i="8" s="1"/>
  <c r="C399" i="8" a="1"/>
  <c r="C399" i="8" s="1"/>
  <c r="C397" i="8" a="1"/>
  <c r="C397" i="8" s="1"/>
  <c r="C380" i="8" a="1"/>
  <c r="C380" i="8" s="1"/>
  <c r="C379" i="8" a="1"/>
  <c r="C379" i="8" s="1"/>
  <c r="C363" i="8" a="1"/>
  <c r="C363" i="8" s="1"/>
  <c r="C362" i="8" a="1"/>
  <c r="C362" i="8" s="1"/>
  <c r="C340" i="8" a="1"/>
  <c r="C340" i="8" s="1"/>
  <c r="C341" i="8" a="1"/>
  <c r="C341" i="8" s="1"/>
  <c r="C318" i="8" a="1"/>
  <c r="C318" i="8" s="1"/>
  <c r="C319" i="8" a="1"/>
  <c r="C319" i="8" s="1"/>
  <c r="C424" i="8" a="1"/>
  <c r="C424" i="8" s="1"/>
  <c r="C421" i="8" a="1"/>
  <c r="C421" i="8" s="1"/>
  <c r="C420" i="8" a="1"/>
  <c r="C420" i="8" s="1"/>
  <c r="C398" i="8" a="1"/>
  <c r="C398" i="8" s="1"/>
  <c r="C393" i="8" a="1"/>
  <c r="C393" i="8" s="1"/>
  <c r="C423" i="8" a="1"/>
  <c r="C423" i="8" s="1"/>
  <c r="C422" i="8" a="1"/>
  <c r="C422" i="8" s="1"/>
  <c r="C418" i="8" a="1"/>
  <c r="C418" i="8" s="1"/>
  <c r="C419" i="8" a="1"/>
  <c r="C419" i="8" s="1"/>
  <c r="C417" i="8" a="1"/>
  <c r="C417" i="8" s="1"/>
  <c r="C416" i="8" a="1"/>
  <c r="C416" i="8" s="1"/>
  <c r="C415" i="8" a="1"/>
  <c r="C415" i="8" s="1"/>
  <c r="C414" i="8" a="1"/>
  <c r="C414" i="8" s="1"/>
  <c r="C413" i="8" a="1"/>
  <c r="C413" i="8" s="1"/>
  <c r="C412" i="8" a="1"/>
  <c r="C412" i="8" s="1"/>
  <c r="C409" i="8" a="1"/>
  <c r="C409" i="8" s="1"/>
  <c r="C408" i="8" a="1"/>
  <c r="C408" i="8" s="1"/>
  <c r="C406" i="8" a="1"/>
  <c r="C406" i="8" s="1"/>
  <c r="C407" i="8" a="1"/>
  <c r="C407" i="8" s="1"/>
  <c r="C404" i="8" a="1"/>
  <c r="C404" i="8" s="1"/>
  <c r="C401" i="8" a="1"/>
  <c r="C401" i="8" s="1"/>
  <c r="C403" i="8" a="1"/>
  <c r="C403" i="8" s="1"/>
  <c r="C402" i="8" a="1"/>
  <c r="C402" i="8" s="1"/>
  <c r="C394" i="8" a="1"/>
  <c r="C394" i="8" s="1"/>
  <c r="C386" i="8" a="1"/>
  <c r="C386" i="8" s="1"/>
  <c r="C367" i="8" a="1"/>
  <c r="C367" i="8" s="1"/>
  <c r="C350" i="8" a="1"/>
  <c r="C350" i="8" s="1"/>
  <c r="C387" i="8" a="1"/>
  <c r="C387" i="8" s="1"/>
  <c r="C400" i="8" a="1"/>
  <c r="C400" i="8" s="1"/>
  <c r="C396" i="8" a="1"/>
  <c r="C396" i="8" s="1"/>
  <c r="C395" i="8" a="1"/>
  <c r="C395" i="8" s="1"/>
  <c r="C373" i="8" a="1"/>
  <c r="C373" i="8" s="1"/>
  <c r="C356" i="8" a="1"/>
  <c r="C356" i="8" s="1"/>
  <c r="C332" i="8" a="1"/>
  <c r="C332" i="8" s="1"/>
  <c r="C314" i="8" a="1"/>
  <c r="C314" i="8" s="1"/>
  <c r="C388" i="8" a="1"/>
  <c r="C388" i="8" s="1"/>
  <c r="C392" i="8" a="1"/>
  <c r="C392" i="8" s="1"/>
  <c r="C372" i="8" a="1"/>
  <c r="C372" i="8" s="1"/>
  <c r="C370" i="8" a="1"/>
  <c r="C370" i="8" s="1"/>
  <c r="C391" i="8" a="1"/>
  <c r="C391" i="8" s="1"/>
  <c r="C390" i="8" a="1"/>
  <c r="C390" i="8" s="1"/>
  <c r="C389" i="8" a="1"/>
  <c r="C389" i="8" s="1"/>
  <c r="C366" i="8" a="1"/>
  <c r="C366" i="8" s="1"/>
  <c r="C383" i="8" a="1"/>
  <c r="C383" i="8" s="1"/>
  <c r="C384" i="8" a="1"/>
  <c r="C384" i="8" s="1"/>
  <c r="C385" i="8" a="1"/>
  <c r="C385" i="8" s="1"/>
  <c r="C368" i="8" a="1"/>
  <c r="C368" i="8" s="1"/>
  <c r="C351" i="8" a="1"/>
  <c r="C351" i="8" s="1"/>
  <c r="C327" i="8" a="1"/>
  <c r="C327" i="8" s="1"/>
  <c r="C382" i="8" a="1"/>
  <c r="C382" i="8" s="1"/>
  <c r="C381" i="8" a="1"/>
  <c r="C381" i="8" s="1"/>
  <c r="C378" i="8" a="1"/>
  <c r="C378" i="8" s="1"/>
  <c r="C376" i="8" a="1"/>
  <c r="C376" i="8" s="1"/>
  <c r="C377" i="8" a="1"/>
  <c r="C377" i="8" s="1"/>
  <c r="C375" i="8" a="1"/>
  <c r="C375" i="8" s="1"/>
  <c r="C374" i="8" a="1"/>
  <c r="C374" i="8" s="1"/>
  <c r="C371" i="8" a="1"/>
  <c r="C371" i="8" s="1"/>
  <c r="C369" i="8" a="1"/>
  <c r="C369" i="8" s="1"/>
  <c r="C359" i="8" a="1"/>
  <c r="C359" i="8" s="1"/>
  <c r="C365" i="8" a="1"/>
  <c r="C365" i="8" s="1"/>
  <c r="C364" i="8" a="1"/>
  <c r="C364" i="8" s="1"/>
  <c r="C358" i="8" a="1"/>
  <c r="C358" i="8" s="1"/>
  <c r="C361" i="8" a="1"/>
  <c r="C361" i="8" s="1"/>
  <c r="C360" i="8" a="1"/>
  <c r="C360" i="8" s="1"/>
  <c r="C335" i="8" a="1"/>
  <c r="C335" i="8" s="1"/>
  <c r="C316" i="8" a="1"/>
  <c r="C316" i="8" s="1"/>
  <c r="C297" i="8" a="1"/>
  <c r="C297" i="8" s="1"/>
  <c r="C279" i="8" a="1"/>
  <c r="C279" i="8" s="1"/>
  <c r="C263" i="8" a="1"/>
  <c r="C263" i="8" s="1"/>
  <c r="C248" i="8" a="1"/>
  <c r="C248" i="8" s="1"/>
  <c r="C357" i="8" a="1"/>
  <c r="C357" i="8" s="1"/>
  <c r="C355" i="8" a="1"/>
  <c r="C355" i="8" s="1"/>
  <c r="C354" i="8" a="1"/>
  <c r="C354" i="8" s="1"/>
  <c r="C352" i="8" a="1"/>
  <c r="C352" i="8" s="1"/>
  <c r="C333" i="8" a="1"/>
  <c r="C333" i="8" s="1"/>
  <c r="C315" i="8" a="1"/>
  <c r="C315" i="8" s="1"/>
  <c r="C296" i="8" a="1"/>
  <c r="C296" i="8" s="1"/>
  <c r="C280" i="8" a="1"/>
  <c r="C280" i="8" s="1"/>
  <c r="C262" i="8" a="1"/>
  <c r="C262" i="8" s="1"/>
  <c r="C247" i="8" a="1"/>
  <c r="C247" i="8" s="1"/>
  <c r="C353" i="8" a="1"/>
  <c r="C353" i="8" s="1"/>
  <c r="C338" i="8" a="1"/>
  <c r="C338" i="8" s="1"/>
  <c r="C337" i="8" a="1"/>
  <c r="C337" i="8" s="1"/>
  <c r="C349" i="8" a="1"/>
  <c r="C349" i="8" s="1"/>
  <c r="C348" i="8" a="1"/>
  <c r="C348" i="8" s="1"/>
  <c r="C344" i="8" a="1"/>
  <c r="C344" i="8" s="1"/>
  <c r="C334" i="8" a="1"/>
  <c r="C334" i="8" s="1"/>
  <c r="C321" i="8" a="1"/>
  <c r="C321" i="8" s="1"/>
  <c r="C347" i="8" a="1"/>
  <c r="C347" i="8" s="1"/>
  <c r="C345" i="8" a="1"/>
  <c r="C345" i="8" s="1"/>
  <c r="C346" i="8" a="1"/>
  <c r="C346" i="8" s="1"/>
  <c r="C295" i="8" a="1"/>
  <c r="C295" i="8" s="1"/>
  <c r="C339" i="8" a="1"/>
  <c r="C339" i="8" s="1"/>
  <c r="C336" i="8" a="1"/>
  <c r="C336" i="8" s="1"/>
  <c r="C328" i="8" a="1"/>
  <c r="C328" i="8" s="1"/>
  <c r="C308" i="8" a="1"/>
  <c r="C308" i="8" s="1"/>
  <c r="C330" i="8" a="1"/>
  <c r="C330" i="8" s="1"/>
  <c r="C331" i="8" a="1"/>
  <c r="C331" i="8" s="1"/>
  <c r="C329" i="8" a="1"/>
  <c r="C329" i="8" s="1"/>
  <c r="C302" i="8" a="1"/>
  <c r="C302" i="8" s="1"/>
  <c r="C317" i="8" a="1"/>
  <c r="C317" i="8" s="1"/>
  <c r="C306" i="8" a="1"/>
  <c r="C306" i="8" s="1"/>
  <c r="C284" i="8" a="1"/>
  <c r="C284" i="8" s="1"/>
  <c r="C283" i="8" a="1"/>
  <c r="C283" i="8" s="1"/>
  <c r="C322" i="8" a="1"/>
  <c r="C322" i="8" s="1"/>
  <c r="C301" i="8" a="1"/>
  <c r="C301" i="8" s="1"/>
  <c r="C290" i="8" a="1"/>
  <c r="C290" i="8" s="1"/>
  <c r="C282" i="8" a="1"/>
  <c r="C282" i="8" s="1"/>
  <c r="C300" i="8" a="1"/>
  <c r="C300" i="8" s="1"/>
  <c r="C281" i="8" a="1"/>
  <c r="C281" i="8" s="1"/>
  <c r="C326" i="8" a="1"/>
  <c r="C326" i="8" s="1"/>
  <c r="C325" i="8" a="1"/>
  <c r="C325" i="8" s="1"/>
  <c r="C324" i="8" a="1"/>
  <c r="C324" i="8" s="1"/>
  <c r="C323" i="8" a="1"/>
  <c r="C323" i="8" s="1"/>
  <c r="C320" i="8" a="1"/>
  <c r="C320" i="8" s="1"/>
  <c r="C310" i="8" a="1"/>
  <c r="C310" i="8" s="1"/>
  <c r="C313" i="8" a="1"/>
  <c r="C313" i="8" s="1"/>
  <c r="C311" i="8" a="1"/>
  <c r="C311" i="8" s="1"/>
  <c r="C312" i="8" a="1"/>
  <c r="C312" i="8" s="1"/>
  <c r="C309" i="8" a="1"/>
  <c r="C309" i="8" s="1"/>
  <c r="C305" i="8" a="1"/>
  <c r="C305" i="8" s="1"/>
  <c r="C307" i="8" a="1"/>
  <c r="C307" i="8" s="1"/>
  <c r="C304" i="8" a="1"/>
  <c r="C304" i="8" s="1"/>
  <c r="C303" i="8" a="1"/>
  <c r="C303" i="8" s="1"/>
  <c r="C299" i="8" a="1"/>
  <c r="C299" i="8" s="1"/>
  <c r="C298" i="8" a="1"/>
  <c r="C298" i="8" s="1"/>
  <c r="C294" i="8" a="1"/>
  <c r="C294" i="8" s="1"/>
  <c r="C293" i="8" a="1"/>
  <c r="C293" i="8" s="1"/>
  <c r="C292" i="8" a="1"/>
  <c r="C292" i="8" s="1"/>
  <c r="C291" i="8" a="1"/>
  <c r="C291" i="8" s="1"/>
  <c r="C288" i="8" a="1"/>
  <c r="C288" i="8" s="1"/>
  <c r="C289" i="8" a="1"/>
  <c r="C289" i="8" s="1"/>
  <c r="C286" i="8" a="1"/>
  <c r="C286" i="8" s="1"/>
  <c r="C287" i="8" a="1"/>
  <c r="C287" i="8" s="1"/>
  <c r="C285" i="8" a="1"/>
  <c r="C285" i="8" s="1"/>
  <c r="C234" i="8" a="1"/>
  <c r="C234" i="8" s="1"/>
  <c r="C277" i="8" a="1"/>
  <c r="C277" i="8" s="1"/>
  <c r="C278" i="8" a="1"/>
  <c r="C278" i="8" s="1"/>
  <c r="C276" i="8" a="1"/>
  <c r="C276" i="8" s="1"/>
  <c r="C275" i="8" a="1"/>
  <c r="C275" i="8" s="1"/>
  <c r="C264" i="8" a="1"/>
  <c r="C264" i="8" s="1"/>
  <c r="C268" i="8" a="1"/>
  <c r="C268" i="8" s="1"/>
  <c r="C267" i="8" a="1"/>
  <c r="C267" i="8" s="1"/>
  <c r="C266" i="8" a="1"/>
  <c r="C266" i="8" s="1"/>
  <c r="C274" i="8" a="1"/>
  <c r="C274" i="8" s="1"/>
  <c r="C271" i="8" a="1"/>
  <c r="C271" i="8" s="1"/>
  <c r="C273" i="8" a="1"/>
  <c r="C273" i="8" s="1"/>
  <c r="C272" i="8" a="1"/>
  <c r="C272" i="8" s="1"/>
  <c r="C270" i="8" a="1"/>
  <c r="C270" i="8" s="1"/>
  <c r="C269" i="8" a="1"/>
  <c r="C269" i="8" s="1"/>
  <c r="C265" i="8" a="1"/>
  <c r="C265" i="8" s="1"/>
  <c r="C261" i="8" a="1"/>
  <c r="C261" i="8" s="1"/>
  <c r="C251" i="8" a="1"/>
  <c r="C251" i="8" s="1"/>
  <c r="C259" i="8" a="1"/>
  <c r="C259" i="8" s="1"/>
  <c r="C249" i="8" a="1"/>
  <c r="C249" i="8" s="1"/>
  <c r="C229" i="8" a="1"/>
  <c r="C229" i="8" s="1"/>
  <c r="C252" i="8" a="1"/>
  <c r="C252" i="8" s="1"/>
  <c r="C235" i="8" a="1"/>
  <c r="C235" i="8" s="1"/>
  <c r="C244" i="8" a="1"/>
  <c r="C244" i="8" s="1"/>
  <c r="C233" i="8" a="1"/>
  <c r="C233" i="8" s="1"/>
  <c r="C250" i="8" a="1"/>
  <c r="C250" i="8" s="1"/>
  <c r="C232" i="8" a="1"/>
  <c r="C232" i="8" s="1"/>
  <c r="C257" i="8" a="1"/>
  <c r="C257" i="8" s="1"/>
  <c r="C258" i="8" a="1"/>
  <c r="C258" i="8" s="1"/>
  <c r="C260" i="8" a="1"/>
  <c r="C260" i="8" s="1"/>
  <c r="C256" i="8" a="1"/>
  <c r="C256" i="8" s="1"/>
  <c r="C240" i="8" a="1"/>
  <c r="C240" i="8" s="1"/>
  <c r="C255" i="8" a="1"/>
  <c r="C255" i="8" s="1"/>
  <c r="C254" i="8" a="1"/>
  <c r="C254" i="8" s="1"/>
  <c r="C253" i="8" a="1"/>
  <c r="C253" i="8" s="1"/>
  <c r="C241" i="8" a="1"/>
  <c r="C241" i="8" s="1"/>
  <c r="C243" i="8" a="1"/>
  <c r="C243" i="8" s="1"/>
  <c r="C242" i="8" a="1"/>
  <c r="C242" i="8" s="1"/>
  <c r="C246" i="8" a="1"/>
  <c r="C246" i="8" s="1"/>
  <c r="C245" i="8" a="1"/>
  <c r="C245" i="8" s="1"/>
  <c r="C239" i="8" a="1"/>
  <c r="C239" i="8" s="1"/>
  <c r="C238" i="8" a="1"/>
  <c r="C238" i="8" s="1"/>
  <c r="C237" i="8" a="1"/>
  <c r="C237" i="8" s="1"/>
  <c r="C236" i="8" a="1"/>
  <c r="C236" i="8" s="1"/>
  <c r="C227" i="8" a="1"/>
  <c r="C227" i="8" s="1"/>
  <c r="C230" i="8" a="1"/>
  <c r="C230" i="8" s="1"/>
  <c r="C231" i="8" a="1"/>
  <c r="C231" i="8" s="1"/>
  <c r="C228" i="8" a="1"/>
  <c r="C228" i="8" s="1"/>
  <c r="C224" i="8" a="1"/>
  <c r="C224" i="8" s="1"/>
  <c r="C215" i="8" a="1"/>
  <c r="C215" i="8" s="1"/>
  <c r="C223" i="8" a="1"/>
  <c r="C223" i="8" s="1"/>
  <c r="C222" i="8" a="1"/>
  <c r="C222" i="8" s="1"/>
  <c r="C221" i="8" a="1"/>
  <c r="C221" i="8" s="1"/>
  <c r="C216" i="8" a="1"/>
  <c r="C216" i="8" s="1"/>
  <c r="C217" i="8" a="1"/>
  <c r="C217" i="8" s="1"/>
  <c r="C213" i="8" a="1"/>
  <c r="C213" i="8" s="1"/>
  <c r="C214" i="8" a="1"/>
  <c r="C214" i="8" s="1"/>
  <c r="C220" i="8" a="1"/>
  <c r="C220" i="8" s="1"/>
  <c r="C212" i="8" a="1"/>
  <c r="C212" i="8" s="1"/>
  <c r="C219" i="8" a="1"/>
  <c r="C219" i="8" s="1"/>
  <c r="C218" i="8" a="1"/>
  <c r="C218" i="8" s="1"/>
  <c r="C210" i="8" a="1"/>
  <c r="C210" i="8" s="1"/>
  <c r="C211" i="8" a="1"/>
  <c r="C211" i="8" s="1"/>
  <c r="C207" i="8" a="1"/>
  <c r="C207" i="8" s="1"/>
  <c r="C208" i="8" a="1"/>
  <c r="C208" i="8" s="1"/>
  <c r="C209" i="8" a="1"/>
  <c r="C209" i="8" s="1"/>
  <c r="C206" i="8" a="1"/>
  <c r="C206" i="8" s="1"/>
  <c r="C205" i="8" a="1"/>
  <c r="C205" i="8" s="1"/>
  <c r="C200" i="8" a="1"/>
  <c r="C200" i="8" s="1"/>
  <c r="C193" i="8" a="1"/>
  <c r="C193" i="8" s="1"/>
  <c r="C204" i="8" a="1"/>
  <c r="C204" i="8" s="1"/>
  <c r="C201" i="8" a="1"/>
  <c r="C201" i="8" s="1"/>
  <c r="C199" i="8" a="1"/>
  <c r="C199" i="8" s="1"/>
  <c r="C198" i="8" a="1"/>
  <c r="C198" i="8" s="1"/>
  <c r="C189" i="8" a="1"/>
  <c r="C189" i="8" s="1"/>
  <c r="C186" i="8" a="1"/>
  <c r="C186" i="8" s="1"/>
  <c r="C187" i="8" a="1"/>
  <c r="C187" i="8" s="1"/>
  <c r="C203" i="8" a="1"/>
  <c r="C203" i="8" s="1"/>
  <c r="C202" i="8" a="1"/>
  <c r="C202" i="8" s="1"/>
  <c r="C195" i="8" a="1"/>
  <c r="C195" i="8" s="1"/>
  <c r="C194" i="8" a="1"/>
  <c r="C194" i="8" s="1"/>
  <c r="C192" i="8" a="1"/>
  <c r="C192" i="8" s="1"/>
  <c r="C191" i="8" a="1"/>
  <c r="C191" i="8" s="1"/>
  <c r="C190" i="8" a="1"/>
  <c r="C190" i="8" s="1"/>
  <c r="C185" i="8" a="1"/>
  <c r="C185" i="8" s="1"/>
  <c r="C188" i="8" a="1"/>
  <c r="C188" i="8" s="1"/>
  <c r="C184" i="8" a="1"/>
  <c r="C184" i="8" s="1"/>
  <c r="C183" i="8" a="1"/>
  <c r="C183" i="8" s="1"/>
  <c r="C182" i="8" a="1"/>
  <c r="C182" i="8" s="1"/>
  <c r="C174" i="8" a="1"/>
  <c r="C174" i="8" s="1"/>
  <c r="C181" i="8" a="1"/>
  <c r="C181" i="8" s="1"/>
  <c r="C180" i="8" a="1"/>
  <c r="C180" i="8" s="1"/>
  <c r="C179" i="8" a="1"/>
  <c r="C179" i="8" s="1"/>
  <c r="C175" i="8" a="1"/>
  <c r="C175" i="8" s="1"/>
  <c r="C173" i="8" a="1"/>
  <c r="C173" i="8" s="1"/>
  <c r="C160" i="8" a="1"/>
  <c r="C160" i="8" s="1"/>
  <c r="C147" i="8" a="1"/>
  <c r="C147" i="8" s="1"/>
  <c r="C170" i="8" a="1"/>
  <c r="C170" i="8" s="1"/>
  <c r="C168" i="8" a="1"/>
  <c r="C168" i="8" s="1"/>
  <c r="C155" i="8" a="1"/>
  <c r="C155" i="8" s="1"/>
  <c r="C145" i="8" a="1"/>
  <c r="C145" i="8" s="1"/>
  <c r="C165" i="8" a="1"/>
  <c r="C165" i="8" s="1"/>
  <c r="C154" i="8" a="1"/>
  <c r="C154" i="8" s="1"/>
  <c r="C144" i="8" a="1"/>
  <c r="C144" i="8" s="1"/>
  <c r="C178" i="8" a="1"/>
  <c r="C178" i="8" s="1"/>
  <c r="C177" i="8" a="1"/>
  <c r="C177" i="8" s="1"/>
  <c r="C176" i="8" a="1"/>
  <c r="C176" i="8" s="1"/>
  <c r="C172" i="8" a="1"/>
  <c r="C172" i="8" s="1"/>
  <c r="C171" i="8" a="1"/>
  <c r="C171" i="8" s="1"/>
  <c r="C169" i="8" a="1"/>
  <c r="C169" i="8" s="1"/>
  <c r="C167" i="8" a="1"/>
  <c r="C167" i="8" s="1"/>
  <c r="C166" i="8" a="1"/>
  <c r="C166" i="8" s="1"/>
  <c r="C164" i="8" a="1"/>
  <c r="C164" i="8" s="1"/>
  <c r="C161" i="8" a="1"/>
  <c r="C161" i="8" s="1"/>
  <c r="C163" i="8" a="1"/>
  <c r="C163" i="8" s="1"/>
  <c r="C162" i="8" a="1"/>
  <c r="C162" i="8" s="1"/>
  <c r="C148" i="8" a="1"/>
  <c r="C148" i="8" s="1"/>
  <c r="C153" i="8" a="1"/>
  <c r="C153" i="8" s="1"/>
  <c r="C149" i="8" a="1"/>
  <c r="C149" i="8" s="1"/>
  <c r="C159" i="8" a="1"/>
  <c r="C159" i="8" s="1"/>
  <c r="C158" i="8" a="1"/>
  <c r="C158" i="8" s="1"/>
  <c r="C157" i="8" a="1"/>
  <c r="C157" i="8" s="1"/>
  <c r="C156" i="8" a="1"/>
  <c r="C156" i="8" s="1"/>
  <c r="C150" i="8" a="1"/>
  <c r="C150" i="8" s="1"/>
  <c r="C139" i="8" a="1"/>
  <c r="C139" i="8" s="1"/>
  <c r="C146" i="8" a="1"/>
  <c r="C146" i="8" s="1"/>
  <c r="C142" i="8" a="1"/>
  <c r="C142" i="8" s="1"/>
  <c r="C137" i="8" a="1"/>
  <c r="C137" i="8" s="1"/>
  <c r="C136" i="8" a="1"/>
  <c r="C136" i="8" s="1"/>
  <c r="C135" i="8" a="1"/>
  <c r="C135" i="8" s="1"/>
  <c r="C134" i="8" a="1"/>
  <c r="C134" i="8" s="1"/>
  <c r="C143" i="8" a="1"/>
  <c r="C143" i="8" s="1"/>
  <c r="C140" i="8" a="1"/>
  <c r="C140" i="8" s="1"/>
  <c r="C141" i="8" a="1"/>
  <c r="C141" i="8" s="1"/>
  <c r="C138" i="8" a="1"/>
  <c r="C138" i="8" s="1"/>
  <c r="C132" i="8" a="1"/>
  <c r="C132" i="8" s="1"/>
  <c r="C131" i="8" a="1"/>
  <c r="C131" i="8" s="1"/>
  <c r="C133" i="8" a="1"/>
  <c r="C133" i="8" s="1"/>
  <c r="C130" i="8" a="1"/>
  <c r="C130" i="8" s="1"/>
  <c r="C127" i="8" a="1"/>
  <c r="C127" i="8" s="1"/>
  <c r="C129" i="8" a="1"/>
  <c r="C129" i="8" s="1"/>
  <c r="C128" i="8" a="1"/>
  <c r="C128" i="8" s="1"/>
  <c r="C126" i="8" a="1"/>
  <c r="C126" i="8" s="1"/>
  <c r="C125" i="8" a="1"/>
  <c r="C125" i="8" s="1"/>
  <c r="C124" i="8" a="1"/>
  <c r="C124" i="8" s="1"/>
  <c r="C123" i="8" a="1"/>
  <c r="C123" i="8" s="1"/>
  <c r="C119" i="8" a="1"/>
  <c r="C119" i="8" s="1"/>
  <c r="C118" i="8" a="1"/>
  <c r="C118" i="8" s="1"/>
  <c r="C117" i="8" a="1"/>
  <c r="C117" i="8" s="1"/>
  <c r="C120" i="8" a="1"/>
  <c r="C120" i="8" s="1"/>
  <c r="C116" i="8" a="1"/>
  <c r="C116" i="8" s="1"/>
  <c r="C115" i="8" a="1"/>
  <c r="C115" i="8" s="1"/>
  <c r="C114" i="8" a="1"/>
  <c r="C114" i="8" s="1"/>
  <c r="C113" i="8" a="1"/>
  <c r="C113" i="8" s="1"/>
  <c r="C111" i="8" a="1"/>
  <c r="C111" i="8" s="1"/>
  <c r="C112" i="8" a="1"/>
  <c r="C112" i="8" s="1"/>
  <c r="C105" i="8" a="1"/>
  <c r="C105" i="8" s="1"/>
  <c r="C108" i="8" a="1"/>
  <c r="C108" i="8" s="1"/>
  <c r="C107" i="8" a="1"/>
  <c r="C107" i="8" s="1"/>
  <c r="C106" i="8" a="1"/>
  <c r="C106" i="8" s="1"/>
  <c r="C99" i="8" a="1"/>
  <c r="C99" i="8" s="1"/>
  <c r="C104" i="8" a="1"/>
  <c r="C104" i="8" s="1"/>
  <c r="C103" i="8" a="1"/>
  <c r="C103" i="8" s="1"/>
  <c r="C102" i="8" a="1"/>
  <c r="C102" i="8" s="1"/>
  <c r="C101" i="8" a="1"/>
  <c r="C101" i="8" s="1"/>
  <c r="C100" i="8" a="1"/>
  <c r="C100" i="8" s="1"/>
  <c r="C98" i="8" a="1"/>
  <c r="C98" i="8" s="1"/>
  <c r="C97" i="8" a="1"/>
  <c r="C97" i="8" s="1"/>
  <c r="C96" i="8" a="1"/>
  <c r="C96" i="8" s="1"/>
  <c r="C88" i="8" a="1"/>
  <c r="C88" i="8" s="1"/>
  <c r="C95" i="8" a="1"/>
  <c r="C95" i="8" s="1"/>
  <c r="C82" i="8" a="1"/>
  <c r="C82" i="8" s="1"/>
  <c r="C93" i="8" a="1"/>
  <c r="C93" i="8" s="1"/>
  <c r="C81" i="8" a="1"/>
  <c r="C81" i="8" s="1"/>
  <c r="C94" i="8" a="1"/>
  <c r="C94" i="8" s="1"/>
  <c r="C92" i="8" a="1"/>
  <c r="C92" i="8" s="1"/>
  <c r="C91" i="8" a="1"/>
  <c r="C91" i="8" s="1"/>
  <c r="C90" i="8" a="1"/>
  <c r="C90" i="8" s="1"/>
  <c r="C78" i="8" a="1"/>
  <c r="C78" i="8" s="1"/>
  <c r="C79" i="8" a="1"/>
  <c r="C79" i="8" s="1"/>
  <c r="C89" i="8" a="1"/>
  <c r="C89" i="8" s="1"/>
  <c r="C87" i="8" a="1"/>
  <c r="C87" i="8" s="1"/>
  <c r="C86" i="8" a="1"/>
  <c r="C86" i="8" s="1"/>
  <c r="C85" i="8" a="1"/>
  <c r="C85" i="8" s="1"/>
  <c r="C84" i="8" a="1"/>
  <c r="C84" i="8" s="1"/>
  <c r="C80" i="8" a="1"/>
  <c r="C80" i="8" s="1"/>
  <c r="C69" i="8" a="1"/>
  <c r="C69" i="8" s="1"/>
  <c r="C83" i="8" a="1"/>
  <c r="C83" i="8" s="1"/>
  <c r="C76" i="8" a="1"/>
  <c r="C76" i="8" s="1"/>
  <c r="C77" i="8" a="1"/>
  <c r="C77" i="8" s="1"/>
  <c r="C75" i="8" a="1"/>
  <c r="C75" i="8" s="1"/>
  <c r="C74" i="8" a="1"/>
  <c r="C74" i="8" s="1"/>
  <c r="C73" i="8" a="1"/>
  <c r="C73" i="8" s="1"/>
  <c r="C72" i="8" a="1"/>
  <c r="C72" i="8" s="1"/>
  <c r="C71" i="8" a="1"/>
  <c r="C71" i="8" s="1"/>
  <c r="C70" i="8" a="1"/>
  <c r="C70" i="8" s="1"/>
  <c r="C66" i="8" a="1"/>
  <c r="C66" i="8" s="1"/>
  <c r="C65" i="8" a="1"/>
  <c r="C65" i="8" s="1"/>
  <c r="C64" i="8" a="1"/>
  <c r="C64" i="8" s="1"/>
  <c r="C62" i="8" a="1"/>
  <c r="C62" i="8" s="1"/>
  <c r="C60" i="8" a="1"/>
  <c r="C60" i="8" s="1"/>
  <c r="C59" i="8" a="1"/>
  <c r="C59" i="8" s="1"/>
  <c r="C58" i="8" a="1"/>
  <c r="C58" i="8" s="1"/>
  <c r="C63" i="8" a="1"/>
  <c r="C63" i="8" s="1"/>
  <c r="C61" i="8" a="1"/>
  <c r="C61" i="8" s="1"/>
  <c r="C57" i="8" a="1"/>
  <c r="C57" i="8" s="1"/>
  <c r="C56" i="8" a="1"/>
  <c r="C56" i="8" s="1"/>
  <c r="C55" i="8" a="1"/>
  <c r="C55" i="8" s="1"/>
  <c r="C54" i="8" a="1"/>
  <c r="C54" i="8" s="1"/>
  <c r="C45" i="8" a="1"/>
  <c r="C45" i="8" s="1"/>
  <c r="C53" i="8" a="1"/>
  <c r="C53" i="8" s="1"/>
  <c r="C51" i="8" a="1"/>
  <c r="C51" i="8" s="1"/>
  <c r="C50" i="8" a="1"/>
  <c r="C50" i="8" s="1"/>
  <c r="C49" i="8" a="1"/>
  <c r="C49" i="8" s="1"/>
  <c r="C48" i="8" a="1"/>
  <c r="C48" i="8" s="1"/>
  <c r="C52" i="8" a="1"/>
  <c r="C52" i="8" s="1"/>
  <c r="C44" i="8" a="1"/>
  <c r="C44" i="8" s="1"/>
  <c r="C43" i="8" a="1"/>
  <c r="C43" i="8" s="1"/>
  <c r="C35" i="8" a="1"/>
  <c r="C35" i="8" s="1"/>
  <c r="C42" i="8" a="1"/>
  <c r="C42" i="8" s="1"/>
  <c r="C41" i="8" a="1"/>
  <c r="C41" i="8" s="1"/>
  <c r="C40" i="8" a="1"/>
  <c r="C40" i="8" s="1"/>
  <c r="C38" i="8" a="1"/>
  <c r="C38" i="8" s="1"/>
  <c r="C37" i="8" a="1"/>
  <c r="C37" i="8" s="1"/>
  <c r="C39" i="8" a="1"/>
  <c r="C39" i="8" s="1"/>
  <c r="C36" i="8" a="1"/>
  <c r="C36" i="8" s="1"/>
  <c r="C34" i="8" a="1"/>
  <c r="C34" i="8" s="1"/>
  <c r="C33" i="8" a="1"/>
  <c r="C33" i="8" s="1"/>
  <c r="C24" i="8" a="1"/>
  <c r="C24" i="8" s="1"/>
  <c r="C23" i="8" a="1"/>
  <c r="C23" i="8" s="1"/>
  <c r="C32" i="8" a="1"/>
  <c r="C32" i="8" s="1"/>
  <c r="C31" i="8" a="1"/>
  <c r="C31" i="8" s="1"/>
  <c r="C30" i="8" a="1"/>
  <c r="C30" i="8" s="1"/>
  <c r="C29" i="8" a="1"/>
  <c r="C29" i="8" s="1"/>
  <c r="C28" i="8" a="1"/>
  <c r="C28" i="8" s="1"/>
  <c r="C27" i="8" a="1"/>
  <c r="C27" i="8" s="1"/>
  <c r="C26" i="8" a="1"/>
  <c r="C26" i="8" s="1"/>
  <c r="C25" i="8" a="1"/>
  <c r="C25" i="8" s="1"/>
  <c r="C21" i="8" a="1"/>
  <c r="C21" i="8" s="1"/>
  <c r="C22" i="8" a="1"/>
  <c r="C22" i="8" s="1"/>
  <c r="C20" i="8" a="1"/>
  <c r="C20" i="8" s="1"/>
  <c r="C19" i="8" a="1"/>
  <c r="C19" i="8" s="1"/>
  <c r="C18" i="8" a="1"/>
  <c r="C18" i="8" s="1"/>
  <c r="C17" i="8" a="1"/>
  <c r="C17" i="8" s="1"/>
  <c r="C16" i="8" a="1"/>
  <c r="C16" i="8" s="1"/>
  <c r="C15" i="8" a="1"/>
  <c r="C15" i="8" s="1"/>
  <c r="C14" i="8" a="1"/>
  <c r="C14" i="8" s="1"/>
  <c r="C13" i="8" a="1"/>
  <c r="C13" i="8" s="1"/>
  <c r="C12" i="8" a="1"/>
  <c r="C12" i="8" s="1"/>
  <c r="C11" i="8" a="1"/>
  <c r="C11" i="8" s="1"/>
  <c r="C10" i="8" a="1"/>
  <c r="C10" i="8" s="1"/>
  <c r="C9" i="8" a="1"/>
  <c r="C9" i="8" s="1"/>
  <c r="C8" i="8" a="1"/>
  <c r="C8" i="8" s="1"/>
  <c r="C7" i="8" a="1"/>
  <c r="C7" i="8" s="1"/>
  <c r="C6" i="8" a="1"/>
  <c r="C6" i="8" s="1"/>
  <c r="C5" i="8" a="1"/>
  <c r="C5" i="8" s="1"/>
  <c r="C4" i="8" a="1"/>
  <c r="C4" i="8" s="1"/>
  <c r="C3" i="8" a="1"/>
  <c r="C3" i="8" s="1"/>
  <c r="C2" i="8" a="1"/>
  <c r="C2" i="8" s="1"/>
  <c r="T610" i="8"/>
  <c r="T609" i="8"/>
  <c r="T608" i="8"/>
  <c r="T582" i="8"/>
  <c r="T605" i="8"/>
  <c r="T604" i="8"/>
  <c r="T603" i="8"/>
  <c r="T602" i="8"/>
  <c r="T600" i="8"/>
  <c r="T601" i="8"/>
  <c r="T596" i="8"/>
  <c r="T593" i="8"/>
  <c r="T570" i="8"/>
  <c r="T546" i="8"/>
  <c r="T591" i="8"/>
  <c r="T592" i="8"/>
  <c r="T594" i="8"/>
  <c r="T590" i="8"/>
  <c r="T589" i="8"/>
  <c r="T588" i="8"/>
  <c r="T586" i="8"/>
  <c r="T587" i="8"/>
  <c r="T581" i="8"/>
  <c r="T585" i="8"/>
  <c r="T584" i="8"/>
  <c r="T583" i="8"/>
  <c r="T571" i="8"/>
  <c r="T580" i="8"/>
  <c r="T539" i="8"/>
  <c r="T556" i="8"/>
  <c r="T576" i="8"/>
  <c r="T577" i="8"/>
  <c r="T575" i="8"/>
  <c r="T574" i="8"/>
  <c r="T506" i="8"/>
  <c r="T531" i="8"/>
  <c r="T573" i="8"/>
  <c r="T572" i="8"/>
  <c r="T569" i="8"/>
  <c r="T568" i="8"/>
  <c r="T567" i="8"/>
  <c r="T566" i="8"/>
  <c r="T559" i="8"/>
  <c r="T565" i="8"/>
  <c r="T562" i="8"/>
  <c r="T561" i="8"/>
  <c r="T560" i="8"/>
  <c r="T558" i="8"/>
  <c r="T557" i="8"/>
  <c r="T555" i="8"/>
  <c r="T554" i="8"/>
  <c r="T530" i="8"/>
  <c r="T529" i="8"/>
  <c r="T508" i="8"/>
  <c r="T507" i="8"/>
  <c r="T486" i="8"/>
  <c r="T485" i="8"/>
  <c r="T463" i="8"/>
  <c r="T462" i="8"/>
  <c r="T440" i="8"/>
  <c r="T439" i="8"/>
  <c r="T553" i="8"/>
  <c r="T552" i="8"/>
  <c r="T538" i="8"/>
  <c r="T544" i="8"/>
  <c r="T545" i="8"/>
  <c r="T550" i="8"/>
  <c r="T549" i="8"/>
  <c r="T551" i="8"/>
  <c r="T548" i="8"/>
  <c r="T547" i="8"/>
  <c r="T543" i="8"/>
  <c r="T541" i="8"/>
  <c r="T542" i="8"/>
  <c r="T540" i="8"/>
  <c r="T527" i="8"/>
  <c r="T537" i="8"/>
  <c r="T536" i="8"/>
  <c r="T521" i="8"/>
  <c r="T522" i="8"/>
  <c r="T535" i="8"/>
  <c r="T534" i="8"/>
  <c r="T533" i="8"/>
  <c r="T532" i="8"/>
  <c r="T528" i="8"/>
  <c r="T526" i="8"/>
  <c r="T524" i="8"/>
  <c r="T515" i="8"/>
  <c r="T525" i="8"/>
  <c r="T523" i="8"/>
  <c r="T509" i="8"/>
  <c r="T520" i="8"/>
  <c r="T516" i="8"/>
  <c r="T519" i="8"/>
  <c r="T518" i="8"/>
  <c r="T517" i="8"/>
  <c r="T513" i="8"/>
  <c r="T514" i="8"/>
  <c r="T505" i="8"/>
  <c r="T512" i="8"/>
  <c r="T502" i="8"/>
  <c r="T501" i="8"/>
  <c r="T511" i="8"/>
  <c r="T510" i="8"/>
  <c r="T504" i="8"/>
  <c r="T503" i="8"/>
  <c r="T494" i="8"/>
  <c r="T447" i="8"/>
  <c r="T469" i="8"/>
  <c r="T500" i="8"/>
  <c r="T499" i="8"/>
  <c r="T498" i="8"/>
  <c r="T497" i="8"/>
  <c r="T496" i="8"/>
  <c r="T495" i="8"/>
  <c r="T493" i="8"/>
  <c r="T491" i="8"/>
  <c r="T492" i="8"/>
  <c r="T490" i="8"/>
  <c r="T489" i="8"/>
  <c r="T488" i="8"/>
  <c r="T487" i="8"/>
  <c r="T482" i="8"/>
  <c r="T481" i="8"/>
  <c r="T478" i="8"/>
  <c r="T457" i="8"/>
  <c r="T480" i="8"/>
  <c r="T475" i="8"/>
  <c r="T474" i="8"/>
  <c r="T479" i="8"/>
  <c r="T477" i="8"/>
  <c r="T476" i="8"/>
  <c r="T473" i="8"/>
  <c r="T472" i="8"/>
  <c r="T470" i="8"/>
  <c r="T471" i="8"/>
  <c r="T468" i="8"/>
  <c r="T466" i="8"/>
  <c r="T467" i="8"/>
  <c r="T465" i="8"/>
  <c r="T464" i="8"/>
  <c r="T453" i="8"/>
  <c r="T456" i="8"/>
  <c r="T461" i="8"/>
  <c r="T460" i="8"/>
  <c r="T458" i="8"/>
  <c r="T459" i="8"/>
  <c r="T448" i="8"/>
  <c r="T455" i="8"/>
  <c r="T454" i="8"/>
  <c r="T452" i="8"/>
  <c r="T451" i="8"/>
  <c r="T449" i="8"/>
  <c r="T450" i="8"/>
  <c r="T437" i="8"/>
  <c r="T446" i="8"/>
  <c r="T445" i="8"/>
  <c r="T342" i="8"/>
  <c r="T343" i="8"/>
  <c r="T225" i="8"/>
  <c r="T226" i="8"/>
  <c r="T196" i="8"/>
  <c r="T197" i="8"/>
  <c r="T151" i="8"/>
  <c r="T152" i="8"/>
  <c r="T121" i="8"/>
  <c r="T122" i="8"/>
  <c r="T109" i="8"/>
  <c r="T110" i="8"/>
  <c r="T67" i="8"/>
  <c r="T68" i="8"/>
  <c r="T47" i="8"/>
  <c r="T46" i="8"/>
  <c r="T444" i="8"/>
  <c r="T442" i="8"/>
  <c r="T443" i="8"/>
  <c r="T441" i="8"/>
  <c r="T438" i="8"/>
  <c r="T427" i="8"/>
  <c r="T405" i="8"/>
  <c r="T436" i="8"/>
  <c r="T435" i="8"/>
  <c r="T429" i="8"/>
  <c r="T434" i="8"/>
  <c r="T433" i="8"/>
  <c r="T432" i="8"/>
  <c r="T431" i="8"/>
  <c r="T430" i="8"/>
  <c r="T428" i="8"/>
  <c r="T426" i="8"/>
  <c r="T425" i="8"/>
  <c r="T411" i="8"/>
  <c r="T410" i="8"/>
  <c r="T399" i="8"/>
  <c r="T397" i="8"/>
  <c r="T380" i="8"/>
  <c r="T379" i="8"/>
  <c r="T363" i="8"/>
  <c r="T362" i="8"/>
  <c r="T340" i="8"/>
  <c r="T341" i="8"/>
  <c r="T318" i="8"/>
  <c r="T319" i="8"/>
  <c r="T424" i="8"/>
  <c r="T421" i="8"/>
  <c r="T420" i="8"/>
  <c r="T398" i="8"/>
  <c r="T393" i="8"/>
  <c r="T423" i="8"/>
  <c r="T422" i="8"/>
  <c r="T418" i="8"/>
  <c r="T419" i="8"/>
  <c r="T417" i="8"/>
  <c r="T416" i="8"/>
  <c r="T415" i="8"/>
  <c r="T414" i="8"/>
  <c r="T413" i="8"/>
  <c r="T412" i="8"/>
  <c r="T409" i="8"/>
  <c r="T408" i="8"/>
  <c r="T406" i="8"/>
  <c r="T407" i="8"/>
  <c r="T404" i="8"/>
  <c r="T401" i="8"/>
  <c r="T403" i="8"/>
  <c r="T402" i="8"/>
  <c r="T394" i="8"/>
  <c r="T386" i="8"/>
  <c r="T367" i="8"/>
  <c r="T350" i="8"/>
  <c r="T387" i="8"/>
  <c r="T400" i="8"/>
  <c r="T396" i="8"/>
  <c r="T395" i="8"/>
  <c r="T373" i="8"/>
  <c r="T356" i="8"/>
  <c r="T332" i="8"/>
  <c r="T314" i="8"/>
  <c r="T388" i="8"/>
  <c r="T392" i="8"/>
  <c r="T372" i="8"/>
  <c r="T370" i="8"/>
  <c r="T391" i="8"/>
  <c r="T390" i="8"/>
  <c r="T389" i="8"/>
  <c r="T366" i="8"/>
  <c r="T383" i="8"/>
  <c r="T384" i="8"/>
  <c r="T385" i="8"/>
  <c r="T368" i="8"/>
  <c r="T351" i="8"/>
  <c r="T327" i="8"/>
  <c r="T382" i="8"/>
  <c r="T381" i="8"/>
  <c r="T378" i="8"/>
  <c r="T376" i="8"/>
  <c r="T377" i="8"/>
  <c r="T375" i="8"/>
  <c r="T374" i="8"/>
  <c r="T371" i="8"/>
  <c r="T369" i="8"/>
  <c r="T359" i="8"/>
  <c r="T365" i="8"/>
  <c r="T364" i="8"/>
  <c r="T358" i="8"/>
  <c r="T361" i="8"/>
  <c r="T360" i="8"/>
  <c r="T335" i="8"/>
  <c r="T316" i="8"/>
  <c r="T297" i="8"/>
  <c r="T279" i="8"/>
  <c r="T263" i="8"/>
  <c r="T248" i="8"/>
  <c r="T357" i="8"/>
  <c r="T355" i="8"/>
  <c r="T354" i="8"/>
  <c r="T352" i="8"/>
  <c r="T333" i="8"/>
  <c r="T315" i="8"/>
  <c r="T296" i="8"/>
  <c r="T280" i="8"/>
  <c r="T262" i="8"/>
  <c r="T247" i="8"/>
  <c r="T353" i="8"/>
  <c r="T338" i="8"/>
  <c r="T337" i="8"/>
  <c r="T349" i="8"/>
  <c r="T348" i="8"/>
  <c r="T344" i="8"/>
  <c r="T334" i="8"/>
  <c r="T321" i="8"/>
  <c r="T347" i="8"/>
  <c r="T345" i="8"/>
  <c r="T346" i="8"/>
  <c r="T295" i="8"/>
  <c r="T339" i="8"/>
  <c r="T336" i="8"/>
  <c r="T328" i="8"/>
  <c r="T308" i="8"/>
  <c r="T330" i="8"/>
  <c r="T331" i="8"/>
  <c r="T329" i="8"/>
  <c r="T302" i="8"/>
  <c r="T317" i="8"/>
  <c r="T306" i="8"/>
  <c r="T284" i="8"/>
  <c r="T283" i="8"/>
  <c r="T322" i="8"/>
  <c r="T301" i="8"/>
  <c r="T290" i="8"/>
  <c r="T282" i="8"/>
  <c r="T300" i="8"/>
  <c r="T281" i="8"/>
  <c r="T326" i="8"/>
  <c r="T325" i="8"/>
  <c r="T324" i="8"/>
  <c r="T323" i="8"/>
  <c r="T320" i="8"/>
  <c r="T310" i="8"/>
  <c r="T313" i="8"/>
  <c r="T311" i="8"/>
  <c r="T312" i="8"/>
  <c r="T309" i="8"/>
  <c r="T305" i="8"/>
  <c r="T307" i="8"/>
  <c r="T304" i="8"/>
  <c r="T303" i="8"/>
  <c r="T299" i="8"/>
  <c r="T298" i="8"/>
  <c r="T294" i="8"/>
  <c r="T293" i="8"/>
  <c r="T292" i="8"/>
  <c r="T291" i="8"/>
  <c r="T288" i="8"/>
  <c r="T289" i="8"/>
  <c r="T286" i="8"/>
  <c r="T287" i="8"/>
  <c r="T285" i="8"/>
  <c r="T234" i="8"/>
  <c r="T277" i="8"/>
  <c r="T278" i="8"/>
  <c r="T276" i="8"/>
  <c r="T275" i="8"/>
  <c r="T264" i="8"/>
  <c r="T268" i="8"/>
  <c r="T267" i="8"/>
  <c r="T266" i="8"/>
  <c r="T274" i="8"/>
  <c r="T271" i="8"/>
  <c r="T273" i="8"/>
  <c r="T272" i="8"/>
  <c r="T270" i="8"/>
  <c r="T269" i="8"/>
  <c r="T265" i="8"/>
  <c r="T261" i="8"/>
  <c r="T251" i="8"/>
  <c r="T259" i="8"/>
  <c r="T249" i="8"/>
  <c r="T229" i="8"/>
  <c r="T252" i="8"/>
  <c r="T235" i="8"/>
  <c r="T244" i="8"/>
  <c r="T233" i="8"/>
  <c r="T250" i="8"/>
  <c r="T232" i="8"/>
  <c r="T257" i="8"/>
  <c r="T258" i="8"/>
  <c r="T260" i="8"/>
  <c r="T256" i="8"/>
  <c r="T240" i="8"/>
  <c r="T255" i="8"/>
  <c r="T254" i="8"/>
  <c r="T253" i="8"/>
  <c r="T241" i="8"/>
  <c r="T243" i="8"/>
  <c r="T242" i="8"/>
  <c r="T246" i="8"/>
  <c r="T245" i="8"/>
  <c r="T239" i="8"/>
  <c r="T238" i="8"/>
  <c r="T237" i="8"/>
  <c r="T236" i="8"/>
  <c r="T227" i="8"/>
  <c r="T230" i="8"/>
  <c r="T231" i="8"/>
  <c r="T228" i="8"/>
  <c r="T224" i="8"/>
  <c r="T215" i="8"/>
  <c r="T223" i="8"/>
  <c r="T222" i="8"/>
  <c r="T221" i="8"/>
  <c r="T216" i="8"/>
  <c r="T217" i="8"/>
  <c r="T213" i="8"/>
  <c r="T214" i="8"/>
  <c r="T220" i="8"/>
  <c r="T212" i="8"/>
  <c r="T219" i="8"/>
  <c r="T218" i="8"/>
  <c r="T210" i="8"/>
  <c r="T211" i="8"/>
  <c r="T207" i="8"/>
  <c r="T208" i="8"/>
  <c r="T209" i="8"/>
  <c r="T206" i="8"/>
  <c r="T205" i="8"/>
  <c r="T200" i="8"/>
  <c r="T193" i="8"/>
  <c r="T204" i="8"/>
  <c r="T201" i="8"/>
  <c r="T199" i="8"/>
  <c r="T198" i="8"/>
  <c r="T189" i="8"/>
  <c r="T186" i="8"/>
  <c r="T187" i="8"/>
  <c r="T203" i="8"/>
  <c r="T202" i="8"/>
  <c r="T195" i="8"/>
  <c r="T194" i="8"/>
  <c r="T192" i="8"/>
  <c r="T191" i="8"/>
  <c r="T190" i="8"/>
  <c r="T185" i="8"/>
  <c r="T188" i="8"/>
  <c r="T184" i="8"/>
  <c r="T183" i="8"/>
  <c r="T182" i="8"/>
  <c r="T174" i="8"/>
  <c r="T181" i="8"/>
  <c r="T180" i="8"/>
  <c r="T179" i="8"/>
  <c r="T175" i="8"/>
  <c r="T173" i="8"/>
  <c r="T160" i="8"/>
  <c r="T147" i="8"/>
  <c r="T170" i="8"/>
  <c r="T168" i="8"/>
  <c r="T155" i="8"/>
  <c r="T145" i="8"/>
  <c r="T165" i="8"/>
  <c r="T154" i="8"/>
  <c r="T144" i="8"/>
  <c r="T178" i="8"/>
  <c r="T177" i="8"/>
  <c r="T176" i="8"/>
  <c r="T172" i="8"/>
  <c r="T171" i="8"/>
  <c r="T169" i="8"/>
  <c r="T167" i="8"/>
  <c r="T166" i="8"/>
  <c r="T164" i="8"/>
  <c r="T161" i="8"/>
  <c r="T163" i="8"/>
  <c r="T162" i="8"/>
  <c r="T148" i="8"/>
  <c r="T153" i="8"/>
  <c r="T149" i="8"/>
  <c r="T159" i="8"/>
  <c r="T158" i="8"/>
  <c r="T157" i="8"/>
  <c r="T156" i="8"/>
  <c r="T150" i="8"/>
  <c r="T139" i="8"/>
  <c r="T146" i="8"/>
  <c r="T142" i="8"/>
  <c r="T137" i="8"/>
  <c r="T136" i="8"/>
  <c r="T135" i="8"/>
  <c r="T134" i="8"/>
  <c r="T143" i="8"/>
  <c r="T140" i="8"/>
  <c r="T141" i="8"/>
  <c r="T138" i="8"/>
  <c r="T132" i="8"/>
  <c r="T131" i="8"/>
  <c r="T133" i="8"/>
  <c r="T130" i="8"/>
  <c r="T127" i="8"/>
  <c r="T129" i="8"/>
  <c r="T128" i="8"/>
  <c r="T126" i="8"/>
  <c r="T125" i="8"/>
  <c r="T124" i="8"/>
  <c r="T123" i="8"/>
  <c r="T119" i="8"/>
  <c r="T118" i="8"/>
  <c r="T117" i="8"/>
  <c r="T120" i="8"/>
  <c r="T116" i="8"/>
  <c r="T115" i="8"/>
  <c r="T114" i="8"/>
  <c r="T113" i="8"/>
  <c r="T111" i="8"/>
  <c r="T112" i="8"/>
  <c r="T105" i="8"/>
  <c r="T108" i="8"/>
  <c r="T107" i="8"/>
  <c r="T106" i="8"/>
  <c r="T99" i="8"/>
  <c r="T104" i="8"/>
  <c r="T103" i="8"/>
  <c r="T102" i="8"/>
  <c r="T101" i="8"/>
  <c r="T100" i="8"/>
  <c r="T98" i="8"/>
  <c r="T97" i="8"/>
  <c r="T96" i="8"/>
  <c r="T88" i="8"/>
  <c r="T95" i="8"/>
  <c r="T82" i="8"/>
  <c r="T93" i="8"/>
  <c r="T81" i="8"/>
  <c r="T94" i="8"/>
  <c r="T92" i="8"/>
  <c r="T91" i="8"/>
  <c r="T90" i="8"/>
  <c r="T78" i="8"/>
  <c r="T79" i="8"/>
  <c r="T89" i="8"/>
  <c r="T87" i="8"/>
  <c r="T86" i="8"/>
  <c r="T85" i="8"/>
  <c r="T84" i="8"/>
  <c r="T80" i="8"/>
  <c r="T69" i="8"/>
  <c r="T83" i="8"/>
  <c r="T76" i="8"/>
  <c r="T77" i="8"/>
  <c r="T75" i="8"/>
  <c r="T74" i="8"/>
  <c r="T73" i="8"/>
  <c r="T72" i="8"/>
  <c r="T71" i="8"/>
  <c r="T70" i="8"/>
  <c r="T66" i="8"/>
  <c r="T65" i="8"/>
  <c r="T64" i="8"/>
  <c r="T62" i="8"/>
  <c r="T60" i="8"/>
  <c r="T59" i="8"/>
  <c r="T58" i="8"/>
  <c r="T63" i="8"/>
  <c r="T61" i="8"/>
  <c r="T57" i="8"/>
  <c r="T56" i="8"/>
  <c r="T55" i="8"/>
  <c r="T54" i="8"/>
  <c r="T45" i="8"/>
  <c r="T53" i="8"/>
  <c r="T51" i="8"/>
  <c r="T50" i="8"/>
  <c r="T49" i="8"/>
  <c r="T48" i="8"/>
  <c r="T52" i="8"/>
  <c r="T44" i="8"/>
  <c r="T43" i="8"/>
  <c r="T35" i="8"/>
  <c r="T42" i="8"/>
  <c r="T41" i="8"/>
  <c r="T40" i="8"/>
  <c r="T38" i="8"/>
  <c r="T37" i="8"/>
  <c r="T39" i="8"/>
  <c r="T36" i="8"/>
  <c r="T34" i="8"/>
  <c r="T33" i="8"/>
  <c r="T24" i="8"/>
  <c r="T23" i="8"/>
  <c r="T32" i="8"/>
  <c r="T31" i="8"/>
  <c r="T30" i="8"/>
  <c r="T29" i="8"/>
  <c r="T28" i="8"/>
  <c r="T27" i="8"/>
  <c r="T26" i="8"/>
  <c r="T25" i="8"/>
  <c r="T21" i="8"/>
  <c r="T22" i="8"/>
  <c r="T20" i="8"/>
  <c r="T19" i="8"/>
  <c r="T18" i="8"/>
  <c r="T17" i="8"/>
  <c r="T16" i="8"/>
  <c r="T15" i="8"/>
  <c r="T14" i="8"/>
  <c r="T13" i="8"/>
  <c r="T12" i="8"/>
  <c r="T11" i="8"/>
  <c r="T10" i="8"/>
  <c r="T9" i="8"/>
  <c r="T8" i="8"/>
  <c r="T7" i="8"/>
  <c r="T6" i="8"/>
  <c r="T5" i="8"/>
  <c r="T4" i="8"/>
  <c r="T3" i="8"/>
  <c r="T2" i="8"/>
  <c r="R610" i="8"/>
  <c r="R609" i="8"/>
  <c r="R608" i="8"/>
  <c r="R582" i="8"/>
  <c r="R605" i="8"/>
  <c r="R604" i="8"/>
  <c r="R603" i="8"/>
  <c r="R602" i="8"/>
  <c r="R600" i="8"/>
  <c r="R601" i="8"/>
  <c r="R596" i="8"/>
  <c r="R593" i="8"/>
  <c r="R570" i="8"/>
  <c r="R546" i="8"/>
  <c r="R591" i="8"/>
  <c r="R592" i="8"/>
  <c r="R594" i="8"/>
  <c r="R590" i="8"/>
  <c r="R589" i="8"/>
  <c r="R588" i="8"/>
  <c r="R586" i="8"/>
  <c r="R587" i="8"/>
  <c r="R581" i="8"/>
  <c r="R585" i="8"/>
  <c r="R584" i="8"/>
  <c r="R583" i="8"/>
  <c r="R571" i="8"/>
  <c r="R580" i="8"/>
  <c r="R539" i="8"/>
  <c r="R556" i="8"/>
  <c r="R576" i="8"/>
  <c r="R577" i="8"/>
  <c r="R575" i="8"/>
  <c r="R574" i="8"/>
  <c r="R506" i="8"/>
  <c r="R531" i="8"/>
  <c r="R573" i="8"/>
  <c r="R572" i="8"/>
  <c r="R569" i="8"/>
  <c r="R568" i="8"/>
  <c r="R567" i="8"/>
  <c r="R566" i="8"/>
  <c r="R559" i="8"/>
  <c r="R565" i="8"/>
  <c r="R562" i="8"/>
  <c r="R561" i="8"/>
  <c r="R560" i="8"/>
  <c r="R558" i="8"/>
  <c r="R557" i="8"/>
  <c r="R555" i="8"/>
  <c r="R554" i="8"/>
  <c r="R530" i="8"/>
  <c r="R529" i="8"/>
  <c r="R508" i="8"/>
  <c r="R507" i="8"/>
  <c r="R486" i="8"/>
  <c r="R485" i="8"/>
  <c r="R463" i="8"/>
  <c r="R462" i="8"/>
  <c r="R440" i="8"/>
  <c r="R439" i="8"/>
  <c r="R553" i="8"/>
  <c r="R552" i="8"/>
  <c r="R538" i="8"/>
  <c r="R544" i="8"/>
  <c r="R545" i="8"/>
  <c r="R550" i="8"/>
  <c r="R549" i="8"/>
  <c r="R551" i="8"/>
  <c r="R548" i="8"/>
  <c r="R547" i="8"/>
  <c r="R543" i="8"/>
  <c r="R541" i="8"/>
  <c r="R542" i="8"/>
  <c r="R540" i="8"/>
  <c r="R527" i="8"/>
  <c r="R537" i="8"/>
  <c r="R536" i="8"/>
  <c r="R521" i="8"/>
  <c r="R522" i="8"/>
  <c r="R535" i="8"/>
  <c r="R534" i="8"/>
  <c r="R533" i="8"/>
  <c r="R532" i="8"/>
  <c r="R528" i="8"/>
  <c r="R526" i="8"/>
  <c r="R524" i="8"/>
  <c r="R515" i="8"/>
  <c r="R525" i="8"/>
  <c r="R523" i="8"/>
  <c r="R509" i="8"/>
  <c r="R520" i="8"/>
  <c r="R516" i="8"/>
  <c r="R519" i="8"/>
  <c r="R518" i="8"/>
  <c r="R517" i="8"/>
  <c r="R513" i="8"/>
  <c r="R514" i="8"/>
  <c r="R505" i="8"/>
  <c r="R512" i="8"/>
  <c r="R502" i="8"/>
  <c r="R501" i="8"/>
  <c r="R511" i="8"/>
  <c r="R510" i="8"/>
  <c r="R504" i="8"/>
  <c r="R503" i="8"/>
  <c r="R494" i="8"/>
  <c r="R447" i="8"/>
  <c r="R469" i="8"/>
  <c r="R500" i="8"/>
  <c r="R499" i="8"/>
  <c r="R498" i="8"/>
  <c r="R497" i="8"/>
  <c r="R496" i="8"/>
  <c r="R495" i="8"/>
  <c r="R493" i="8"/>
  <c r="R491" i="8"/>
  <c r="R492" i="8"/>
  <c r="R490" i="8"/>
  <c r="R489" i="8"/>
  <c r="R488" i="8"/>
  <c r="R487" i="8"/>
  <c r="R482" i="8"/>
  <c r="R481" i="8"/>
  <c r="R478" i="8"/>
  <c r="R457" i="8"/>
  <c r="R480" i="8"/>
  <c r="R475" i="8"/>
  <c r="R474" i="8"/>
  <c r="R479" i="8"/>
  <c r="R477" i="8"/>
  <c r="R476" i="8"/>
  <c r="R473" i="8"/>
  <c r="R472" i="8"/>
  <c r="R470" i="8"/>
  <c r="R471" i="8"/>
  <c r="R468" i="8"/>
  <c r="R466" i="8"/>
  <c r="R467" i="8"/>
  <c r="R465" i="8"/>
  <c r="R464" i="8"/>
  <c r="R453" i="8"/>
  <c r="R456" i="8"/>
  <c r="R461" i="8"/>
  <c r="R460" i="8"/>
  <c r="R458" i="8"/>
  <c r="R459" i="8"/>
  <c r="R448" i="8"/>
  <c r="R455" i="8"/>
  <c r="R454" i="8"/>
  <c r="R452" i="8"/>
  <c r="R451" i="8"/>
  <c r="R449" i="8"/>
  <c r="R450" i="8"/>
  <c r="R437" i="8"/>
  <c r="R446" i="8"/>
  <c r="R445" i="8"/>
  <c r="R342" i="8"/>
  <c r="R343" i="8"/>
  <c r="R225" i="8"/>
  <c r="R226" i="8"/>
  <c r="R196" i="8"/>
  <c r="R197" i="8"/>
  <c r="R151" i="8"/>
  <c r="R152" i="8"/>
  <c r="R121" i="8"/>
  <c r="R122" i="8"/>
  <c r="R109" i="8"/>
  <c r="R110" i="8"/>
  <c r="R67" i="8"/>
  <c r="R68" i="8"/>
  <c r="R47" i="8"/>
  <c r="R46" i="8"/>
  <c r="R444" i="8"/>
  <c r="R442" i="8"/>
  <c r="R443" i="8"/>
  <c r="R441" i="8"/>
  <c r="R438" i="8"/>
  <c r="R427" i="8"/>
  <c r="R405" i="8"/>
  <c r="R436" i="8"/>
  <c r="R435" i="8"/>
  <c r="R429" i="8"/>
  <c r="R434" i="8"/>
  <c r="R433" i="8"/>
  <c r="R432" i="8"/>
  <c r="R431" i="8"/>
  <c r="R430" i="8"/>
  <c r="R428" i="8"/>
  <c r="R426" i="8"/>
  <c r="R425" i="8"/>
  <c r="R411" i="8"/>
  <c r="R410" i="8"/>
  <c r="R399" i="8"/>
  <c r="R397" i="8"/>
  <c r="R380" i="8"/>
  <c r="R379" i="8"/>
  <c r="R363" i="8"/>
  <c r="R362" i="8"/>
  <c r="R340" i="8"/>
  <c r="R341" i="8"/>
  <c r="R318" i="8"/>
  <c r="R319" i="8"/>
  <c r="R424" i="8"/>
  <c r="R421" i="8"/>
  <c r="R420" i="8"/>
  <c r="R398" i="8"/>
  <c r="R393" i="8"/>
  <c r="R423" i="8"/>
  <c r="R422" i="8"/>
  <c r="R418" i="8"/>
  <c r="R419" i="8"/>
  <c r="R417" i="8"/>
  <c r="R416" i="8"/>
  <c r="R415" i="8"/>
  <c r="R414" i="8"/>
  <c r="R413" i="8"/>
  <c r="R412" i="8"/>
  <c r="R409" i="8"/>
  <c r="R408" i="8"/>
  <c r="R406" i="8"/>
  <c r="R407" i="8"/>
  <c r="R404" i="8"/>
  <c r="R401" i="8"/>
  <c r="R403" i="8"/>
  <c r="R402" i="8"/>
  <c r="R394" i="8"/>
  <c r="R386" i="8"/>
  <c r="R367" i="8"/>
  <c r="R350" i="8"/>
  <c r="R387" i="8"/>
  <c r="R400" i="8"/>
  <c r="R396" i="8"/>
  <c r="R395" i="8"/>
  <c r="R373" i="8"/>
  <c r="R356" i="8"/>
  <c r="R332" i="8"/>
  <c r="R314" i="8"/>
  <c r="R388" i="8"/>
  <c r="R392" i="8"/>
  <c r="R372" i="8"/>
  <c r="R370" i="8"/>
  <c r="R391" i="8"/>
  <c r="R390" i="8"/>
  <c r="R389" i="8"/>
  <c r="R366" i="8"/>
  <c r="R383" i="8"/>
  <c r="R384" i="8"/>
  <c r="R385" i="8"/>
  <c r="R368" i="8"/>
  <c r="R351" i="8"/>
  <c r="R327" i="8"/>
  <c r="R382" i="8"/>
  <c r="R381" i="8"/>
  <c r="R378" i="8"/>
  <c r="R376" i="8"/>
  <c r="R377" i="8"/>
  <c r="R375" i="8"/>
  <c r="R374" i="8"/>
  <c r="R371" i="8"/>
  <c r="R369" i="8"/>
  <c r="R359" i="8"/>
  <c r="R365" i="8"/>
  <c r="R364" i="8"/>
  <c r="R358" i="8"/>
  <c r="R361" i="8"/>
  <c r="R360" i="8"/>
  <c r="R335" i="8"/>
  <c r="R316" i="8"/>
  <c r="R297" i="8"/>
  <c r="R279" i="8"/>
  <c r="R263" i="8"/>
  <c r="R248" i="8"/>
  <c r="R357" i="8"/>
  <c r="R355" i="8"/>
  <c r="R354" i="8"/>
  <c r="R352" i="8"/>
  <c r="R333" i="8"/>
  <c r="R315" i="8"/>
  <c r="R296" i="8"/>
  <c r="R280" i="8"/>
  <c r="R262" i="8"/>
  <c r="R247" i="8"/>
  <c r="R353" i="8"/>
  <c r="R338" i="8"/>
  <c r="R337" i="8"/>
  <c r="R349" i="8"/>
  <c r="R348" i="8"/>
  <c r="R344" i="8"/>
  <c r="R334" i="8"/>
  <c r="R321" i="8"/>
  <c r="R347" i="8"/>
  <c r="R345" i="8"/>
  <c r="R346" i="8"/>
  <c r="R295" i="8"/>
  <c r="R339" i="8"/>
  <c r="R336" i="8"/>
  <c r="R328" i="8"/>
  <c r="R308" i="8"/>
  <c r="R330" i="8"/>
  <c r="R331" i="8"/>
  <c r="R329" i="8"/>
  <c r="R302" i="8"/>
  <c r="R317" i="8"/>
  <c r="R306" i="8"/>
  <c r="R284" i="8"/>
  <c r="R283" i="8"/>
  <c r="R322" i="8"/>
  <c r="R301" i="8"/>
  <c r="R290" i="8"/>
  <c r="R282" i="8"/>
  <c r="R300" i="8"/>
  <c r="R281" i="8"/>
  <c r="R326" i="8"/>
  <c r="R325" i="8"/>
  <c r="R324" i="8"/>
  <c r="R323" i="8"/>
  <c r="R320" i="8"/>
  <c r="R310" i="8"/>
  <c r="R313" i="8"/>
  <c r="R311" i="8"/>
  <c r="R312" i="8"/>
  <c r="R309" i="8"/>
  <c r="R305" i="8"/>
  <c r="R307" i="8"/>
  <c r="R304" i="8"/>
  <c r="R303" i="8"/>
  <c r="R299" i="8"/>
  <c r="R298" i="8"/>
  <c r="R294" i="8"/>
  <c r="R293" i="8"/>
  <c r="R292" i="8"/>
  <c r="R291" i="8"/>
  <c r="R288" i="8"/>
  <c r="R289" i="8"/>
  <c r="R286" i="8"/>
  <c r="R287" i="8"/>
  <c r="R285" i="8"/>
  <c r="R234" i="8"/>
  <c r="R277" i="8"/>
  <c r="R278" i="8"/>
  <c r="R276" i="8"/>
  <c r="R275" i="8"/>
  <c r="R264" i="8"/>
  <c r="R268" i="8"/>
  <c r="R267" i="8"/>
  <c r="R266" i="8"/>
  <c r="R274" i="8"/>
  <c r="R271" i="8"/>
  <c r="R273" i="8"/>
  <c r="R272" i="8"/>
  <c r="R270" i="8"/>
  <c r="R269" i="8"/>
  <c r="R265" i="8"/>
  <c r="R261" i="8"/>
  <c r="R251" i="8"/>
  <c r="R259" i="8"/>
  <c r="R249" i="8"/>
  <c r="R229" i="8"/>
  <c r="R252" i="8"/>
  <c r="R235" i="8"/>
  <c r="R244" i="8"/>
  <c r="R233" i="8"/>
  <c r="R250" i="8"/>
  <c r="R232" i="8"/>
  <c r="R257" i="8"/>
  <c r="R258" i="8"/>
  <c r="R260" i="8"/>
  <c r="R256" i="8"/>
  <c r="R240" i="8"/>
  <c r="R255" i="8"/>
  <c r="R254" i="8"/>
  <c r="R253" i="8"/>
  <c r="R241" i="8"/>
  <c r="R243" i="8"/>
  <c r="R242" i="8"/>
  <c r="R246" i="8"/>
  <c r="R245" i="8"/>
  <c r="R239" i="8"/>
  <c r="R238" i="8"/>
  <c r="R237" i="8"/>
  <c r="R236" i="8"/>
  <c r="R227" i="8"/>
  <c r="R230" i="8"/>
  <c r="R231" i="8"/>
  <c r="R228" i="8"/>
  <c r="R224" i="8"/>
  <c r="R215" i="8"/>
  <c r="R223" i="8"/>
  <c r="R222" i="8"/>
  <c r="R221" i="8"/>
  <c r="R216" i="8"/>
  <c r="R217" i="8"/>
  <c r="R213" i="8"/>
  <c r="R214" i="8"/>
  <c r="R220" i="8"/>
  <c r="R212" i="8"/>
  <c r="R219" i="8"/>
  <c r="R218" i="8"/>
  <c r="R210" i="8"/>
  <c r="R211" i="8"/>
  <c r="R207" i="8"/>
  <c r="R208" i="8"/>
  <c r="R209" i="8"/>
  <c r="R206" i="8"/>
  <c r="R205" i="8"/>
  <c r="R200" i="8"/>
  <c r="R193" i="8"/>
  <c r="R204" i="8"/>
  <c r="R201" i="8"/>
  <c r="R199" i="8"/>
  <c r="R198" i="8"/>
  <c r="R189" i="8"/>
  <c r="R186" i="8"/>
  <c r="R187" i="8"/>
  <c r="R203" i="8"/>
  <c r="R202" i="8"/>
  <c r="R195" i="8"/>
  <c r="R194" i="8"/>
  <c r="R192" i="8"/>
  <c r="R191" i="8"/>
  <c r="R190" i="8"/>
  <c r="R185" i="8"/>
  <c r="R188" i="8"/>
  <c r="R184" i="8"/>
  <c r="R183" i="8"/>
  <c r="R182" i="8"/>
  <c r="R174" i="8"/>
  <c r="R181" i="8"/>
  <c r="R180" i="8"/>
  <c r="R179" i="8"/>
  <c r="R175" i="8"/>
  <c r="R173" i="8"/>
  <c r="R160" i="8"/>
  <c r="R147" i="8"/>
  <c r="R170" i="8"/>
  <c r="R168" i="8"/>
  <c r="R155" i="8"/>
  <c r="R145" i="8"/>
  <c r="R165" i="8"/>
  <c r="R154" i="8"/>
  <c r="R144" i="8"/>
  <c r="R178" i="8"/>
  <c r="R177" i="8"/>
  <c r="R176" i="8"/>
  <c r="R172" i="8"/>
  <c r="R171" i="8"/>
  <c r="R169" i="8"/>
  <c r="R167" i="8"/>
  <c r="R166" i="8"/>
  <c r="R164" i="8"/>
  <c r="R161" i="8"/>
  <c r="R163" i="8"/>
  <c r="R162" i="8"/>
  <c r="R148" i="8"/>
  <c r="R153" i="8"/>
  <c r="R149" i="8"/>
  <c r="R159" i="8"/>
  <c r="R158" i="8"/>
  <c r="R157" i="8"/>
  <c r="R156" i="8"/>
  <c r="R150" i="8"/>
  <c r="R139" i="8"/>
  <c r="R146" i="8"/>
  <c r="R142" i="8"/>
  <c r="R137" i="8"/>
  <c r="R136" i="8"/>
  <c r="R135" i="8"/>
  <c r="R134" i="8"/>
  <c r="R143" i="8"/>
  <c r="R140" i="8"/>
  <c r="R141" i="8"/>
  <c r="R138" i="8"/>
  <c r="R132" i="8"/>
  <c r="R131" i="8"/>
  <c r="R133" i="8"/>
  <c r="R130" i="8"/>
  <c r="R127" i="8"/>
  <c r="R129" i="8"/>
  <c r="R128" i="8"/>
  <c r="R126" i="8"/>
  <c r="R125" i="8"/>
  <c r="R124" i="8"/>
  <c r="R123" i="8"/>
  <c r="R119" i="8"/>
  <c r="R118" i="8"/>
  <c r="R117" i="8"/>
  <c r="R120" i="8"/>
  <c r="R116" i="8"/>
  <c r="R115" i="8"/>
  <c r="R114" i="8"/>
  <c r="R113" i="8"/>
  <c r="R111" i="8"/>
  <c r="R112" i="8"/>
  <c r="R105" i="8"/>
  <c r="R108" i="8"/>
  <c r="R107" i="8"/>
  <c r="R106" i="8"/>
  <c r="R99" i="8"/>
  <c r="R104" i="8"/>
  <c r="R103" i="8"/>
  <c r="R102" i="8"/>
  <c r="R101" i="8"/>
  <c r="R100" i="8"/>
  <c r="R98" i="8"/>
  <c r="R97" i="8"/>
  <c r="R96" i="8"/>
  <c r="R88" i="8"/>
  <c r="R95" i="8"/>
  <c r="R82" i="8"/>
  <c r="R93" i="8"/>
  <c r="R81" i="8"/>
  <c r="R94" i="8"/>
  <c r="R92" i="8"/>
  <c r="R91" i="8"/>
  <c r="R90" i="8"/>
  <c r="R78" i="8"/>
  <c r="R79" i="8"/>
  <c r="R89" i="8"/>
  <c r="R87" i="8"/>
  <c r="R86" i="8"/>
  <c r="R85" i="8"/>
  <c r="R84" i="8"/>
  <c r="R80" i="8"/>
  <c r="R69" i="8"/>
  <c r="R83" i="8"/>
  <c r="R76" i="8"/>
  <c r="R77" i="8"/>
  <c r="R75" i="8"/>
  <c r="R74" i="8"/>
  <c r="R73" i="8"/>
  <c r="R72" i="8"/>
  <c r="R71" i="8"/>
  <c r="R70" i="8"/>
  <c r="R66" i="8"/>
  <c r="R65" i="8"/>
  <c r="R64" i="8"/>
  <c r="R62" i="8"/>
  <c r="R60" i="8"/>
  <c r="R59" i="8"/>
  <c r="R58" i="8"/>
  <c r="R63" i="8"/>
  <c r="R61" i="8"/>
  <c r="R57" i="8"/>
  <c r="R56" i="8"/>
  <c r="R55" i="8"/>
  <c r="R54" i="8"/>
  <c r="R45" i="8"/>
  <c r="R53" i="8"/>
  <c r="R51" i="8"/>
  <c r="R50" i="8"/>
  <c r="R49" i="8"/>
  <c r="R48" i="8"/>
  <c r="R52" i="8"/>
  <c r="R44" i="8"/>
  <c r="R43" i="8"/>
  <c r="R35" i="8"/>
  <c r="R42" i="8"/>
  <c r="R41" i="8"/>
  <c r="R40" i="8"/>
  <c r="R38" i="8"/>
  <c r="R37" i="8"/>
  <c r="R39" i="8"/>
  <c r="R36" i="8"/>
  <c r="R34" i="8"/>
  <c r="R33" i="8"/>
  <c r="R24" i="8"/>
  <c r="R23" i="8"/>
  <c r="R32" i="8"/>
  <c r="R31" i="8"/>
  <c r="R30" i="8"/>
  <c r="R29" i="8"/>
  <c r="R28" i="8"/>
  <c r="R27" i="8"/>
  <c r="R26" i="8"/>
  <c r="R25" i="8"/>
  <c r="R21" i="8"/>
  <c r="R22" i="8"/>
  <c r="R20" i="8"/>
  <c r="R19" i="8"/>
  <c r="R18" i="8"/>
  <c r="R17" i="8"/>
  <c r="R16" i="8"/>
  <c r="R15" i="8"/>
  <c r="R14" i="8"/>
  <c r="R13" i="8"/>
  <c r="R12" i="8"/>
  <c r="R11" i="8"/>
  <c r="R10" i="8"/>
  <c r="R9" i="8"/>
  <c r="R8" i="8"/>
  <c r="R7" i="8"/>
  <c r="R6" i="8"/>
  <c r="R5" i="8"/>
  <c r="R4" i="8"/>
  <c r="R3" i="8"/>
  <c r="R2" i="8"/>
  <c r="F610" i="8"/>
  <c r="F609" i="8"/>
  <c r="F608" i="8"/>
  <c r="F582" i="8"/>
  <c r="F605" i="8"/>
  <c r="F604" i="8"/>
  <c r="F603" i="8"/>
  <c r="F602" i="8"/>
  <c r="F600" i="8"/>
  <c r="F601" i="8"/>
  <c r="F596" i="8"/>
  <c r="F593" i="8"/>
  <c r="F570" i="8"/>
  <c r="F546" i="8"/>
  <c r="F591" i="8"/>
  <c r="F592" i="8"/>
  <c r="F594" i="8"/>
  <c r="F590" i="8"/>
  <c r="F589" i="8"/>
  <c r="F588" i="8"/>
  <c r="F586" i="8"/>
  <c r="F587" i="8"/>
  <c r="F581" i="8"/>
  <c r="F585" i="8"/>
  <c r="F584" i="8"/>
  <c r="F583" i="8"/>
  <c r="F571" i="8"/>
  <c r="F580" i="8"/>
  <c r="F539" i="8"/>
  <c r="F556" i="8"/>
  <c r="F576" i="8"/>
  <c r="F577" i="8"/>
  <c r="F575" i="8"/>
  <c r="F574" i="8"/>
  <c r="F506" i="8"/>
  <c r="F531" i="8"/>
  <c r="F573" i="8"/>
  <c r="F572" i="8"/>
  <c r="F569" i="8"/>
  <c r="F568" i="8"/>
  <c r="F567" i="8"/>
  <c r="F566" i="8"/>
  <c r="F559" i="8"/>
  <c r="F565" i="8"/>
  <c r="F562" i="8"/>
  <c r="F561" i="8"/>
  <c r="F560" i="8"/>
  <c r="F558" i="8"/>
  <c r="F557" i="8"/>
  <c r="F555" i="8"/>
  <c r="F554" i="8"/>
  <c r="F530" i="8"/>
  <c r="F529" i="8"/>
  <c r="F508" i="8"/>
  <c r="F507" i="8"/>
  <c r="F486" i="8"/>
  <c r="F485" i="8"/>
  <c r="F463" i="8"/>
  <c r="F462" i="8"/>
  <c r="F440" i="8"/>
  <c r="F439" i="8"/>
  <c r="F553" i="8"/>
  <c r="F552" i="8"/>
  <c r="F538" i="8"/>
  <c r="F544" i="8"/>
  <c r="F545" i="8"/>
  <c r="F550" i="8"/>
  <c r="F549" i="8"/>
  <c r="F551" i="8"/>
  <c r="F548" i="8"/>
  <c r="F547" i="8"/>
  <c r="F543" i="8"/>
  <c r="F541" i="8"/>
  <c r="F542" i="8"/>
  <c r="F540" i="8"/>
  <c r="F527" i="8"/>
  <c r="F537" i="8"/>
  <c r="F536" i="8"/>
  <c r="F521" i="8"/>
  <c r="F522" i="8"/>
  <c r="F535" i="8"/>
  <c r="F534" i="8"/>
  <c r="F533" i="8"/>
  <c r="F532" i="8"/>
  <c r="F528" i="8"/>
  <c r="F526" i="8"/>
  <c r="F524" i="8"/>
  <c r="F515" i="8"/>
  <c r="F525" i="8"/>
  <c r="F523" i="8"/>
  <c r="F509" i="8"/>
  <c r="F520" i="8"/>
  <c r="F516" i="8"/>
  <c r="F519" i="8"/>
  <c r="F518" i="8"/>
  <c r="F517" i="8"/>
  <c r="F513" i="8"/>
  <c r="F514" i="8"/>
  <c r="F505" i="8"/>
  <c r="F512" i="8"/>
  <c r="F502" i="8"/>
  <c r="F501" i="8"/>
  <c r="F511" i="8"/>
  <c r="F510" i="8"/>
  <c r="F504" i="8"/>
  <c r="F503" i="8"/>
  <c r="F494" i="8"/>
  <c r="F447" i="8"/>
  <c r="F469" i="8"/>
  <c r="F500" i="8"/>
  <c r="F499" i="8"/>
  <c r="F498" i="8"/>
  <c r="F497" i="8"/>
  <c r="F496" i="8"/>
  <c r="F495" i="8"/>
  <c r="F493" i="8"/>
  <c r="F491" i="8"/>
  <c r="F492" i="8"/>
  <c r="F490" i="8"/>
  <c r="F489" i="8"/>
  <c r="F488" i="8"/>
  <c r="F487" i="8"/>
  <c r="F482" i="8"/>
  <c r="F481" i="8"/>
  <c r="F478" i="8"/>
  <c r="F457" i="8"/>
  <c r="F480" i="8"/>
  <c r="F475" i="8"/>
  <c r="F474" i="8"/>
  <c r="F479" i="8"/>
  <c r="F477" i="8"/>
  <c r="F476" i="8"/>
  <c r="F473" i="8"/>
  <c r="F472" i="8"/>
  <c r="F470" i="8"/>
  <c r="F471" i="8"/>
  <c r="F468" i="8"/>
  <c r="F466" i="8"/>
  <c r="F467" i="8"/>
  <c r="F465" i="8"/>
  <c r="F464" i="8"/>
  <c r="F453" i="8"/>
  <c r="F456" i="8"/>
  <c r="F461" i="8"/>
  <c r="F460" i="8"/>
  <c r="F458" i="8"/>
  <c r="F459" i="8"/>
  <c r="F448" i="8"/>
  <c r="F455" i="8"/>
  <c r="F454" i="8"/>
  <c r="F452" i="8"/>
  <c r="F451" i="8"/>
  <c r="F449" i="8"/>
  <c r="F450" i="8"/>
  <c r="F437" i="8"/>
  <c r="F446" i="8"/>
  <c r="F445" i="8"/>
  <c r="F342" i="8"/>
  <c r="F343" i="8"/>
  <c r="F225" i="8"/>
  <c r="F226" i="8"/>
  <c r="F196" i="8"/>
  <c r="F197" i="8"/>
  <c r="F151" i="8"/>
  <c r="F152" i="8"/>
  <c r="F121" i="8"/>
  <c r="F122" i="8"/>
  <c r="F109" i="8"/>
  <c r="F110" i="8"/>
  <c r="F67" i="8"/>
  <c r="F68" i="8"/>
  <c r="F47" i="8"/>
  <c r="F46" i="8"/>
  <c r="F444" i="8"/>
  <c r="F442" i="8"/>
  <c r="F443" i="8"/>
  <c r="F441" i="8"/>
  <c r="F438" i="8"/>
  <c r="F427" i="8"/>
  <c r="F405" i="8"/>
  <c r="F436" i="8"/>
  <c r="F435" i="8"/>
  <c r="F429" i="8"/>
  <c r="F434" i="8"/>
  <c r="F433" i="8"/>
  <c r="F432" i="8"/>
  <c r="F431" i="8"/>
  <c r="F430" i="8"/>
  <c r="F428" i="8"/>
  <c r="F426" i="8"/>
  <c r="F425" i="8"/>
  <c r="F411" i="8"/>
  <c r="F410" i="8"/>
  <c r="F399" i="8"/>
  <c r="F397" i="8"/>
  <c r="F380" i="8"/>
  <c r="F379" i="8"/>
  <c r="F363" i="8"/>
  <c r="F362" i="8"/>
  <c r="F340" i="8"/>
  <c r="F341" i="8"/>
  <c r="F318" i="8"/>
  <c r="F319" i="8"/>
  <c r="F424" i="8"/>
  <c r="F421" i="8"/>
  <c r="F420" i="8"/>
  <c r="F398" i="8"/>
  <c r="F393" i="8"/>
  <c r="F423" i="8"/>
  <c r="F422" i="8"/>
  <c r="F418" i="8"/>
  <c r="F419" i="8"/>
  <c r="F417" i="8"/>
  <c r="F416" i="8"/>
  <c r="F415" i="8"/>
  <c r="F414" i="8"/>
  <c r="F413" i="8"/>
  <c r="F412" i="8"/>
  <c r="F409" i="8"/>
  <c r="F408" i="8"/>
  <c r="F406" i="8"/>
  <c r="F407" i="8"/>
  <c r="F404" i="8"/>
  <c r="F401" i="8"/>
  <c r="F403" i="8"/>
  <c r="F402" i="8"/>
  <c r="F394" i="8"/>
  <c r="F386" i="8"/>
  <c r="F367" i="8"/>
  <c r="F350" i="8"/>
  <c r="F387" i="8"/>
  <c r="F400" i="8"/>
  <c r="F396" i="8"/>
  <c r="F395" i="8"/>
  <c r="F373" i="8"/>
  <c r="F356" i="8"/>
  <c r="F332" i="8"/>
  <c r="F314" i="8"/>
  <c r="F388" i="8"/>
  <c r="F392" i="8"/>
  <c r="F372" i="8"/>
  <c r="F370" i="8"/>
  <c r="F391" i="8"/>
  <c r="F390" i="8"/>
  <c r="F389" i="8"/>
  <c r="F366" i="8"/>
  <c r="F383" i="8"/>
  <c r="F384" i="8"/>
  <c r="F385" i="8"/>
  <c r="F368" i="8"/>
  <c r="F351" i="8"/>
  <c r="F327" i="8"/>
  <c r="F382" i="8"/>
  <c r="F381" i="8"/>
  <c r="F378" i="8"/>
  <c r="F376" i="8"/>
  <c r="F377" i="8"/>
  <c r="F375" i="8"/>
  <c r="F374" i="8"/>
  <c r="F371" i="8"/>
  <c r="F369" i="8"/>
  <c r="F359" i="8"/>
  <c r="F365" i="8"/>
  <c r="F364" i="8"/>
  <c r="F358" i="8"/>
  <c r="F361" i="8"/>
  <c r="F360" i="8"/>
  <c r="F335" i="8"/>
  <c r="F316" i="8"/>
  <c r="F297" i="8"/>
  <c r="F279" i="8"/>
  <c r="F263" i="8"/>
  <c r="F248" i="8"/>
  <c r="F357" i="8"/>
  <c r="F355" i="8"/>
  <c r="F354" i="8"/>
  <c r="F352" i="8"/>
  <c r="F333" i="8"/>
  <c r="F315" i="8"/>
  <c r="F296" i="8"/>
  <c r="F280" i="8"/>
  <c r="F262" i="8"/>
  <c r="F247" i="8"/>
  <c r="F353" i="8"/>
  <c r="F338" i="8"/>
  <c r="F337" i="8"/>
  <c r="F349" i="8"/>
  <c r="F348" i="8"/>
  <c r="F344" i="8"/>
  <c r="F334" i="8"/>
  <c r="F321" i="8"/>
  <c r="F347" i="8"/>
  <c r="F345" i="8"/>
  <c r="F346" i="8"/>
  <c r="F295" i="8"/>
  <c r="F339" i="8"/>
  <c r="F336" i="8"/>
  <c r="F328" i="8"/>
  <c r="F308" i="8"/>
  <c r="F330" i="8"/>
  <c r="F331" i="8"/>
  <c r="F329" i="8"/>
  <c r="F302" i="8"/>
  <c r="F317" i="8"/>
  <c r="F306" i="8"/>
  <c r="F284" i="8"/>
  <c r="F283" i="8"/>
  <c r="F322" i="8"/>
  <c r="F301" i="8"/>
  <c r="F290" i="8"/>
  <c r="F282" i="8"/>
  <c r="F300" i="8"/>
  <c r="F281" i="8"/>
  <c r="F326" i="8"/>
  <c r="F325" i="8"/>
  <c r="F324" i="8"/>
  <c r="F323" i="8"/>
  <c r="F320" i="8"/>
  <c r="F310" i="8"/>
  <c r="F313" i="8"/>
  <c r="F311" i="8"/>
  <c r="F312" i="8"/>
  <c r="F309" i="8"/>
  <c r="F305" i="8"/>
  <c r="F307" i="8"/>
  <c r="F304" i="8"/>
  <c r="F303" i="8"/>
  <c r="F299" i="8"/>
  <c r="F298" i="8"/>
  <c r="F294" i="8"/>
  <c r="F293" i="8"/>
  <c r="F292" i="8"/>
  <c r="F291" i="8"/>
  <c r="F288" i="8"/>
  <c r="F289" i="8"/>
  <c r="F286" i="8"/>
  <c r="F287" i="8"/>
  <c r="F285" i="8"/>
  <c r="F234" i="8"/>
  <c r="F277" i="8"/>
  <c r="F278" i="8"/>
  <c r="F276" i="8"/>
  <c r="F275" i="8"/>
  <c r="F264" i="8"/>
  <c r="F268" i="8"/>
  <c r="F267" i="8"/>
  <c r="F266" i="8"/>
  <c r="F274" i="8"/>
  <c r="F271" i="8"/>
  <c r="F273" i="8"/>
  <c r="F272" i="8"/>
  <c r="F270" i="8"/>
  <c r="F269" i="8"/>
  <c r="F265" i="8"/>
  <c r="F261" i="8"/>
  <c r="F251" i="8"/>
  <c r="F259" i="8"/>
  <c r="F249" i="8"/>
  <c r="F229" i="8"/>
  <c r="F252" i="8"/>
  <c r="F235" i="8"/>
  <c r="F244" i="8"/>
  <c r="F233" i="8"/>
  <c r="F250" i="8"/>
  <c r="F232" i="8"/>
  <c r="F257" i="8"/>
  <c r="F258" i="8"/>
  <c r="F260" i="8"/>
  <c r="F256" i="8"/>
  <c r="F240" i="8"/>
  <c r="F255" i="8"/>
  <c r="F254" i="8"/>
  <c r="F253" i="8"/>
  <c r="F241" i="8"/>
  <c r="F243" i="8"/>
  <c r="F242" i="8"/>
  <c r="F246" i="8"/>
  <c r="F245" i="8"/>
  <c r="F239" i="8"/>
  <c r="F238" i="8"/>
  <c r="F237" i="8"/>
  <c r="F236" i="8"/>
  <c r="F227" i="8"/>
  <c r="F230" i="8"/>
  <c r="F231" i="8"/>
  <c r="F228" i="8"/>
  <c r="F224" i="8"/>
  <c r="F215" i="8"/>
  <c r="F223" i="8"/>
  <c r="F222" i="8"/>
  <c r="F221" i="8"/>
  <c r="F216" i="8"/>
  <c r="F217" i="8"/>
  <c r="F213" i="8"/>
  <c r="F214" i="8"/>
  <c r="F220" i="8"/>
  <c r="F212" i="8"/>
  <c r="F219" i="8"/>
  <c r="F218" i="8"/>
  <c r="F210" i="8"/>
  <c r="F211" i="8"/>
  <c r="F207" i="8"/>
  <c r="F208" i="8"/>
  <c r="F209" i="8"/>
  <c r="F206" i="8"/>
  <c r="F205" i="8"/>
  <c r="F200" i="8"/>
  <c r="F193" i="8"/>
  <c r="F204" i="8"/>
  <c r="F201" i="8"/>
  <c r="F199" i="8"/>
  <c r="F198" i="8"/>
  <c r="F189" i="8"/>
  <c r="F186" i="8"/>
  <c r="F187" i="8"/>
  <c r="F203" i="8"/>
  <c r="F202" i="8"/>
  <c r="F195" i="8"/>
  <c r="F194" i="8"/>
  <c r="F192" i="8"/>
  <c r="F191" i="8"/>
  <c r="F190" i="8"/>
  <c r="F185" i="8"/>
  <c r="F188" i="8"/>
  <c r="F184" i="8"/>
  <c r="F183" i="8"/>
  <c r="F182" i="8"/>
  <c r="F174" i="8"/>
  <c r="F181" i="8"/>
  <c r="F180" i="8"/>
  <c r="F179" i="8"/>
  <c r="F175" i="8"/>
  <c r="F173" i="8"/>
  <c r="F160" i="8"/>
  <c r="F147" i="8"/>
  <c r="F170" i="8"/>
  <c r="F168" i="8"/>
  <c r="F155" i="8"/>
  <c r="F145" i="8"/>
  <c r="F165" i="8"/>
  <c r="F154" i="8"/>
  <c r="F144" i="8"/>
  <c r="F178" i="8"/>
  <c r="F177" i="8"/>
  <c r="F176" i="8"/>
  <c r="F172" i="8"/>
  <c r="F171" i="8"/>
  <c r="F169" i="8"/>
  <c r="F167" i="8"/>
  <c r="F166" i="8"/>
  <c r="F164" i="8"/>
  <c r="F161" i="8"/>
  <c r="F163" i="8"/>
  <c r="F162" i="8"/>
  <c r="F148" i="8"/>
  <c r="F153" i="8"/>
  <c r="F149" i="8"/>
  <c r="F159" i="8"/>
  <c r="F158" i="8"/>
  <c r="F157" i="8"/>
  <c r="F156" i="8"/>
  <c r="F150" i="8"/>
  <c r="F139" i="8"/>
  <c r="F146" i="8"/>
  <c r="F142" i="8"/>
  <c r="F137" i="8"/>
  <c r="F136" i="8"/>
  <c r="F135" i="8"/>
  <c r="F134" i="8"/>
  <c r="F143" i="8"/>
  <c r="F140" i="8"/>
  <c r="F141" i="8"/>
  <c r="F138" i="8"/>
  <c r="F132" i="8"/>
  <c r="F131" i="8"/>
  <c r="F133" i="8"/>
  <c r="F130" i="8"/>
  <c r="F127" i="8"/>
  <c r="F129" i="8"/>
  <c r="F128" i="8"/>
  <c r="F126" i="8"/>
  <c r="F125" i="8"/>
  <c r="F124" i="8"/>
  <c r="F123" i="8"/>
  <c r="F119" i="8"/>
  <c r="F118" i="8"/>
  <c r="F117" i="8"/>
  <c r="F120" i="8"/>
  <c r="F116" i="8"/>
  <c r="F115" i="8"/>
  <c r="F114" i="8"/>
  <c r="F113" i="8"/>
  <c r="F111" i="8"/>
  <c r="F112" i="8"/>
  <c r="F105" i="8"/>
  <c r="F108" i="8"/>
  <c r="F107" i="8"/>
  <c r="F106" i="8"/>
  <c r="F99" i="8"/>
  <c r="F104" i="8"/>
  <c r="F103" i="8"/>
  <c r="F102" i="8"/>
  <c r="F101" i="8"/>
  <c r="F100" i="8"/>
  <c r="F98" i="8"/>
  <c r="F97" i="8"/>
  <c r="F96" i="8"/>
  <c r="F88" i="8"/>
  <c r="F95" i="8"/>
  <c r="F82" i="8"/>
  <c r="F93" i="8"/>
  <c r="F81" i="8"/>
  <c r="F94" i="8"/>
  <c r="F92" i="8"/>
  <c r="F91" i="8"/>
  <c r="F90" i="8"/>
  <c r="F78" i="8"/>
  <c r="F79" i="8"/>
  <c r="F89" i="8"/>
  <c r="F87" i="8"/>
  <c r="F86" i="8"/>
  <c r="F85" i="8"/>
  <c r="F84" i="8"/>
  <c r="F80" i="8"/>
  <c r="F69" i="8"/>
  <c r="F83" i="8"/>
  <c r="F76" i="8"/>
  <c r="F77" i="8"/>
  <c r="F75" i="8"/>
  <c r="F74" i="8"/>
  <c r="F73" i="8"/>
  <c r="F72" i="8"/>
  <c r="F71" i="8"/>
  <c r="F70" i="8"/>
  <c r="F66" i="8"/>
  <c r="F65" i="8"/>
  <c r="F64" i="8"/>
  <c r="F62" i="8"/>
  <c r="F60" i="8"/>
  <c r="F59" i="8"/>
  <c r="F58" i="8"/>
  <c r="F63" i="8"/>
  <c r="F61" i="8"/>
  <c r="F57" i="8"/>
  <c r="F56" i="8"/>
  <c r="F55" i="8"/>
  <c r="F54" i="8"/>
  <c r="F45" i="8"/>
  <c r="F53" i="8"/>
  <c r="F51" i="8"/>
  <c r="F50" i="8"/>
  <c r="F49" i="8"/>
  <c r="F48" i="8"/>
  <c r="F52" i="8"/>
  <c r="F44" i="8"/>
  <c r="F43" i="8"/>
  <c r="F35" i="8"/>
  <c r="F42" i="8"/>
  <c r="F41" i="8"/>
  <c r="F40" i="8"/>
  <c r="F38" i="8"/>
  <c r="F37" i="8"/>
  <c r="F39" i="8"/>
  <c r="F36" i="8"/>
  <c r="F34" i="8"/>
  <c r="F33" i="8"/>
  <c r="F24" i="8"/>
  <c r="F23" i="8"/>
  <c r="F32" i="8"/>
  <c r="F31" i="8"/>
  <c r="F30" i="8"/>
  <c r="F29" i="8"/>
  <c r="F28" i="8"/>
  <c r="F27" i="8"/>
  <c r="F26" i="8"/>
  <c r="F25" i="8"/>
  <c r="F21" i="8"/>
  <c r="F22" i="8"/>
  <c r="F20" i="8"/>
  <c r="F19" i="8"/>
  <c r="F18" i="8"/>
  <c r="F17" i="8"/>
  <c r="F16" i="8"/>
  <c r="F15" i="8"/>
  <c r="F14" i="8"/>
  <c r="F13" i="8"/>
  <c r="F12" i="8"/>
  <c r="F11" i="8"/>
  <c r="F10" i="8"/>
  <c r="F9" i="8"/>
  <c r="F8" i="8"/>
  <c r="F7" i="8"/>
  <c r="F6" i="8"/>
  <c r="F5" i="8"/>
  <c r="F4" i="8"/>
  <c r="F3" i="8"/>
  <c r="F2" i="8"/>
  <c r="D610" i="8"/>
  <c r="D609" i="8"/>
  <c r="D608" i="8"/>
  <c r="D582" i="8"/>
  <c r="D605" i="8"/>
  <c r="D604" i="8"/>
  <c r="D603" i="8"/>
  <c r="D602" i="8"/>
  <c r="D600" i="8"/>
  <c r="D601" i="8"/>
  <c r="D596" i="8"/>
  <c r="D593" i="8"/>
  <c r="D570" i="8"/>
  <c r="D546" i="8"/>
  <c r="D591" i="8"/>
  <c r="D592" i="8"/>
  <c r="D594" i="8"/>
  <c r="D590" i="8"/>
  <c r="D589" i="8"/>
  <c r="D588" i="8"/>
  <c r="D586" i="8"/>
  <c r="D587" i="8"/>
  <c r="D581" i="8"/>
  <c r="D585" i="8"/>
  <c r="D584" i="8"/>
  <c r="D583" i="8"/>
  <c r="D571" i="8"/>
  <c r="D580" i="8"/>
  <c r="D539" i="8"/>
  <c r="D556" i="8"/>
  <c r="D576" i="8"/>
  <c r="D577" i="8"/>
  <c r="D575" i="8"/>
  <c r="D574" i="8"/>
  <c r="D506" i="8"/>
  <c r="D531" i="8"/>
  <c r="D573" i="8"/>
  <c r="D572" i="8"/>
  <c r="D569" i="8"/>
  <c r="D568" i="8"/>
  <c r="D567" i="8"/>
  <c r="D566" i="8"/>
  <c r="D559" i="8"/>
  <c r="D565" i="8"/>
  <c r="D562" i="8"/>
  <c r="D561" i="8"/>
  <c r="D560" i="8"/>
  <c r="D558" i="8"/>
  <c r="D557" i="8"/>
  <c r="D555" i="8"/>
  <c r="D554" i="8"/>
  <c r="D530" i="8"/>
  <c r="D529" i="8"/>
  <c r="D508" i="8"/>
  <c r="D507" i="8"/>
  <c r="D486" i="8"/>
  <c r="D485" i="8"/>
  <c r="D463" i="8"/>
  <c r="D462" i="8"/>
  <c r="D440" i="8"/>
  <c r="D439" i="8"/>
  <c r="D553" i="8"/>
  <c r="D552" i="8"/>
  <c r="D538" i="8"/>
  <c r="D544" i="8"/>
  <c r="D545" i="8"/>
  <c r="D550" i="8"/>
  <c r="D549" i="8"/>
  <c r="D551" i="8"/>
  <c r="D548" i="8"/>
  <c r="D547" i="8"/>
  <c r="D543" i="8"/>
  <c r="D541" i="8"/>
  <c r="D542" i="8"/>
  <c r="D540" i="8"/>
  <c r="D527" i="8"/>
  <c r="D537" i="8"/>
  <c r="D536" i="8"/>
  <c r="D521" i="8"/>
  <c r="D522" i="8"/>
  <c r="D535" i="8"/>
  <c r="D534" i="8"/>
  <c r="D533" i="8"/>
  <c r="D532" i="8"/>
  <c r="D528" i="8"/>
  <c r="D526" i="8"/>
  <c r="D524" i="8"/>
  <c r="D515" i="8"/>
  <c r="D525" i="8"/>
  <c r="D523" i="8"/>
  <c r="D509" i="8"/>
  <c r="D520" i="8"/>
  <c r="D516" i="8"/>
  <c r="D519" i="8"/>
  <c r="D518" i="8"/>
  <c r="D517" i="8"/>
  <c r="D513" i="8"/>
  <c r="D514" i="8"/>
  <c r="D505" i="8"/>
  <c r="D512" i="8"/>
  <c r="D502" i="8"/>
  <c r="D501" i="8"/>
  <c r="D511" i="8"/>
  <c r="D510" i="8"/>
  <c r="D504" i="8"/>
  <c r="D503" i="8"/>
  <c r="D494" i="8"/>
  <c r="D447" i="8"/>
  <c r="D469" i="8"/>
  <c r="D500" i="8"/>
  <c r="D499" i="8"/>
  <c r="D498" i="8"/>
  <c r="D497" i="8"/>
  <c r="D496" i="8"/>
  <c r="D495" i="8"/>
  <c r="D493" i="8"/>
  <c r="D491" i="8"/>
  <c r="D492" i="8"/>
  <c r="D490" i="8"/>
  <c r="D489" i="8"/>
  <c r="D488" i="8"/>
  <c r="D487" i="8"/>
  <c r="D482" i="8"/>
  <c r="D481" i="8"/>
  <c r="D478" i="8"/>
  <c r="D457" i="8"/>
  <c r="D480" i="8"/>
  <c r="D475" i="8"/>
  <c r="D474" i="8"/>
  <c r="D479" i="8"/>
  <c r="D477" i="8"/>
  <c r="D476" i="8"/>
  <c r="D473" i="8"/>
  <c r="D472" i="8"/>
  <c r="D470" i="8"/>
  <c r="D471" i="8"/>
  <c r="D468" i="8"/>
  <c r="D466" i="8"/>
  <c r="D467" i="8"/>
  <c r="D465" i="8"/>
  <c r="D464" i="8"/>
  <c r="D453" i="8"/>
  <c r="D456" i="8"/>
  <c r="D461" i="8"/>
  <c r="D460" i="8"/>
  <c r="D458" i="8"/>
  <c r="D459" i="8"/>
  <c r="D448" i="8"/>
  <c r="D455" i="8"/>
  <c r="D454" i="8"/>
  <c r="D452" i="8"/>
  <c r="D451" i="8"/>
  <c r="D449" i="8"/>
  <c r="D450" i="8"/>
  <c r="D437" i="8"/>
  <c r="D446" i="8"/>
  <c r="D445" i="8"/>
  <c r="D342" i="8"/>
  <c r="D343" i="8"/>
  <c r="D225" i="8"/>
  <c r="D226" i="8"/>
  <c r="D196" i="8"/>
  <c r="D197" i="8"/>
  <c r="D151" i="8"/>
  <c r="D152" i="8"/>
  <c r="D121" i="8"/>
  <c r="D122" i="8"/>
  <c r="D109" i="8"/>
  <c r="D110" i="8"/>
  <c r="D67" i="8"/>
  <c r="D68" i="8"/>
  <c r="D47" i="8"/>
  <c r="D46" i="8"/>
  <c r="D444" i="8"/>
  <c r="D442" i="8"/>
  <c r="D443" i="8"/>
  <c r="D441" i="8"/>
  <c r="D438" i="8"/>
  <c r="D427" i="8"/>
  <c r="D405" i="8"/>
  <c r="D436" i="8"/>
  <c r="D435" i="8"/>
  <c r="D429" i="8"/>
  <c r="D434" i="8"/>
  <c r="D433" i="8"/>
  <c r="D432" i="8"/>
  <c r="D431" i="8"/>
  <c r="D430" i="8"/>
  <c r="D428" i="8"/>
  <c r="D426" i="8"/>
  <c r="D425" i="8"/>
  <c r="D411" i="8"/>
  <c r="D410" i="8"/>
  <c r="D399" i="8"/>
  <c r="D397" i="8"/>
  <c r="D380" i="8"/>
  <c r="D379" i="8"/>
  <c r="D363" i="8"/>
  <c r="D362" i="8"/>
  <c r="D340" i="8"/>
  <c r="D341" i="8"/>
  <c r="D318" i="8"/>
  <c r="D319" i="8"/>
  <c r="D424" i="8"/>
  <c r="D421" i="8"/>
  <c r="D420" i="8"/>
  <c r="D398" i="8"/>
  <c r="D393" i="8"/>
  <c r="D423" i="8"/>
  <c r="D422" i="8"/>
  <c r="D418" i="8"/>
  <c r="D419" i="8"/>
  <c r="D417" i="8"/>
  <c r="D416" i="8"/>
  <c r="D415" i="8"/>
  <c r="D414" i="8"/>
  <c r="D413" i="8"/>
  <c r="D412" i="8"/>
  <c r="D409" i="8"/>
  <c r="D408" i="8"/>
  <c r="D406" i="8"/>
  <c r="D407" i="8"/>
  <c r="D404" i="8"/>
  <c r="D401" i="8"/>
  <c r="D403" i="8"/>
  <c r="D402" i="8"/>
  <c r="D394" i="8"/>
  <c r="D386" i="8"/>
  <c r="D367" i="8"/>
  <c r="D350" i="8"/>
  <c r="D387" i="8"/>
  <c r="D400" i="8"/>
  <c r="D396" i="8"/>
  <c r="D395" i="8"/>
  <c r="D373" i="8"/>
  <c r="D356" i="8"/>
  <c r="D332" i="8"/>
  <c r="D314" i="8"/>
  <c r="D388" i="8"/>
  <c r="D392" i="8"/>
  <c r="D372" i="8"/>
  <c r="D370" i="8"/>
  <c r="D391" i="8"/>
  <c r="D390" i="8"/>
  <c r="D389" i="8"/>
  <c r="D366" i="8"/>
  <c r="D383" i="8"/>
  <c r="D384" i="8"/>
  <c r="D385" i="8"/>
  <c r="D368" i="8"/>
  <c r="D351" i="8"/>
  <c r="D327" i="8"/>
  <c r="D382" i="8"/>
  <c r="D381" i="8"/>
  <c r="D378" i="8"/>
  <c r="D376" i="8"/>
  <c r="D377" i="8"/>
  <c r="D375" i="8"/>
  <c r="D374" i="8"/>
  <c r="D371" i="8"/>
  <c r="D369" i="8"/>
  <c r="D359" i="8"/>
  <c r="D365" i="8"/>
  <c r="D364" i="8"/>
  <c r="D358" i="8"/>
  <c r="D361" i="8"/>
  <c r="D360" i="8"/>
  <c r="D335" i="8"/>
  <c r="D316" i="8"/>
  <c r="D297" i="8"/>
  <c r="D279" i="8"/>
  <c r="D263" i="8"/>
  <c r="D248" i="8"/>
  <c r="D357" i="8"/>
  <c r="D355" i="8"/>
  <c r="D354" i="8"/>
  <c r="D352" i="8"/>
  <c r="D333" i="8"/>
  <c r="D315" i="8"/>
  <c r="D296" i="8"/>
  <c r="D280" i="8"/>
  <c r="D262" i="8"/>
  <c r="D247" i="8"/>
  <c r="D353" i="8"/>
  <c r="D338" i="8"/>
  <c r="D337" i="8"/>
  <c r="D349" i="8"/>
  <c r="D348" i="8"/>
  <c r="D344" i="8"/>
  <c r="D334" i="8"/>
  <c r="D321" i="8"/>
  <c r="D347" i="8"/>
  <c r="D345" i="8"/>
  <c r="D346" i="8"/>
  <c r="D295" i="8"/>
  <c r="D339" i="8"/>
  <c r="D336" i="8"/>
  <c r="D328" i="8"/>
  <c r="D308" i="8"/>
  <c r="D330" i="8"/>
  <c r="D331" i="8"/>
  <c r="D329" i="8"/>
  <c r="D302" i="8"/>
  <c r="D317" i="8"/>
  <c r="D306" i="8"/>
  <c r="D284" i="8"/>
  <c r="D283" i="8"/>
  <c r="D322" i="8"/>
  <c r="D301" i="8"/>
  <c r="D290" i="8"/>
  <c r="D282" i="8"/>
  <c r="D300" i="8"/>
  <c r="D281" i="8"/>
  <c r="D326" i="8"/>
  <c r="D325" i="8"/>
  <c r="D324" i="8"/>
  <c r="D323" i="8"/>
  <c r="D320" i="8"/>
  <c r="D310" i="8"/>
  <c r="D313" i="8"/>
  <c r="D311" i="8"/>
  <c r="D312" i="8"/>
  <c r="D309" i="8"/>
  <c r="D305" i="8"/>
  <c r="D307" i="8"/>
  <c r="D304" i="8"/>
  <c r="D303" i="8"/>
  <c r="D299" i="8"/>
  <c r="D298" i="8"/>
  <c r="D294" i="8"/>
  <c r="D293" i="8"/>
  <c r="D292" i="8"/>
  <c r="D291" i="8"/>
  <c r="D288" i="8"/>
  <c r="D289" i="8"/>
  <c r="D286" i="8"/>
  <c r="D287" i="8"/>
  <c r="D285" i="8"/>
  <c r="D234" i="8"/>
  <c r="D277" i="8"/>
  <c r="D278" i="8"/>
  <c r="D276" i="8"/>
  <c r="D275" i="8"/>
  <c r="D264" i="8"/>
  <c r="D268" i="8"/>
  <c r="D267" i="8"/>
  <c r="D266" i="8"/>
  <c r="D274" i="8"/>
  <c r="D271" i="8"/>
  <c r="D273" i="8"/>
  <c r="D272" i="8"/>
  <c r="D270" i="8"/>
  <c r="D269" i="8"/>
  <c r="D265" i="8"/>
  <c r="D261" i="8"/>
  <c r="D251" i="8"/>
  <c r="D259" i="8"/>
  <c r="D249" i="8"/>
  <c r="D229" i="8"/>
  <c r="D252" i="8"/>
  <c r="D235" i="8"/>
  <c r="D244" i="8"/>
  <c r="D233" i="8"/>
  <c r="D250" i="8"/>
  <c r="D232" i="8"/>
  <c r="D257" i="8"/>
  <c r="D258" i="8"/>
  <c r="D260" i="8"/>
  <c r="D256" i="8"/>
  <c r="D240" i="8"/>
  <c r="D255" i="8"/>
  <c r="D254" i="8"/>
  <c r="D253" i="8"/>
  <c r="D241" i="8"/>
  <c r="D243" i="8"/>
  <c r="D242" i="8"/>
  <c r="D246" i="8"/>
  <c r="D245" i="8"/>
  <c r="D239" i="8"/>
  <c r="D238" i="8"/>
  <c r="D237" i="8"/>
  <c r="D236" i="8"/>
  <c r="D227" i="8"/>
  <c r="D230" i="8"/>
  <c r="D231" i="8"/>
  <c r="D228" i="8"/>
  <c r="D224" i="8"/>
  <c r="D215" i="8"/>
  <c r="D223" i="8"/>
  <c r="D222" i="8"/>
  <c r="D221" i="8"/>
  <c r="D216" i="8"/>
  <c r="D217" i="8"/>
  <c r="D213" i="8"/>
  <c r="D214" i="8"/>
  <c r="D220" i="8"/>
  <c r="D212" i="8"/>
  <c r="D219" i="8"/>
  <c r="D218" i="8"/>
  <c r="D210" i="8"/>
  <c r="D211" i="8"/>
  <c r="D207" i="8"/>
  <c r="D208" i="8"/>
  <c r="D209" i="8"/>
  <c r="D206" i="8"/>
  <c r="D205" i="8"/>
  <c r="D200" i="8"/>
  <c r="D193" i="8"/>
  <c r="D204" i="8"/>
  <c r="D201" i="8"/>
  <c r="D199" i="8"/>
  <c r="D198" i="8"/>
  <c r="D189" i="8"/>
  <c r="D186" i="8"/>
  <c r="D187" i="8"/>
  <c r="D203" i="8"/>
  <c r="D202" i="8"/>
  <c r="D195" i="8"/>
  <c r="D194" i="8"/>
  <c r="D192" i="8"/>
  <c r="D191" i="8"/>
  <c r="D190" i="8"/>
  <c r="D185" i="8"/>
  <c r="D188" i="8"/>
  <c r="D184" i="8"/>
  <c r="D183" i="8"/>
  <c r="D182" i="8"/>
  <c r="D174" i="8"/>
  <c r="D181" i="8"/>
  <c r="D180" i="8"/>
  <c r="D179" i="8"/>
  <c r="D175" i="8"/>
  <c r="D173" i="8"/>
  <c r="D160" i="8"/>
  <c r="D147" i="8"/>
  <c r="D170" i="8"/>
  <c r="D168" i="8"/>
  <c r="D155" i="8"/>
  <c r="D145" i="8"/>
  <c r="D165" i="8"/>
  <c r="D154" i="8"/>
  <c r="D144" i="8"/>
  <c r="D178" i="8"/>
  <c r="D177" i="8"/>
  <c r="D176" i="8"/>
  <c r="D172" i="8"/>
  <c r="D171" i="8"/>
  <c r="D169" i="8"/>
  <c r="D167" i="8"/>
  <c r="D166" i="8"/>
  <c r="D164" i="8"/>
  <c r="D161" i="8"/>
  <c r="D163" i="8"/>
  <c r="D162" i="8"/>
  <c r="D148" i="8"/>
  <c r="D153" i="8"/>
  <c r="D149" i="8"/>
  <c r="D159" i="8"/>
  <c r="D158" i="8"/>
  <c r="D157" i="8"/>
  <c r="D156" i="8"/>
  <c r="D150" i="8"/>
  <c r="D139" i="8"/>
  <c r="D146" i="8"/>
  <c r="D142" i="8"/>
  <c r="D137" i="8"/>
  <c r="D136" i="8"/>
  <c r="D135" i="8"/>
  <c r="D134" i="8"/>
  <c r="D143" i="8"/>
  <c r="D140" i="8"/>
  <c r="D141" i="8"/>
  <c r="D138" i="8"/>
  <c r="D132" i="8"/>
  <c r="D131" i="8"/>
  <c r="D133" i="8"/>
  <c r="D130" i="8"/>
  <c r="D127" i="8"/>
  <c r="D129" i="8"/>
  <c r="D128" i="8"/>
  <c r="D126" i="8"/>
  <c r="D125" i="8"/>
  <c r="D124" i="8"/>
  <c r="D123" i="8"/>
  <c r="D119" i="8"/>
  <c r="D118" i="8"/>
  <c r="D117" i="8"/>
  <c r="D120" i="8"/>
  <c r="D116" i="8"/>
  <c r="D115" i="8"/>
  <c r="D114" i="8"/>
  <c r="D113" i="8"/>
  <c r="D111" i="8"/>
  <c r="D112" i="8"/>
  <c r="D105" i="8"/>
  <c r="D108" i="8"/>
  <c r="D107" i="8"/>
  <c r="D106" i="8"/>
  <c r="D99" i="8"/>
  <c r="D104" i="8"/>
  <c r="D103" i="8"/>
  <c r="D102" i="8"/>
  <c r="D101" i="8"/>
  <c r="D100" i="8"/>
  <c r="D98" i="8"/>
  <c r="D97" i="8"/>
  <c r="D96" i="8"/>
  <c r="D88" i="8"/>
  <c r="D95" i="8"/>
  <c r="D82" i="8"/>
  <c r="D93" i="8"/>
  <c r="D81" i="8"/>
  <c r="D94" i="8"/>
  <c r="D92" i="8"/>
  <c r="D91" i="8"/>
  <c r="D90" i="8"/>
  <c r="D78" i="8"/>
  <c r="D79" i="8"/>
  <c r="D89" i="8"/>
  <c r="D87" i="8"/>
  <c r="D86" i="8"/>
  <c r="D85" i="8"/>
  <c r="D84" i="8"/>
  <c r="D80" i="8"/>
  <c r="D69" i="8"/>
  <c r="D83" i="8"/>
  <c r="D76" i="8"/>
  <c r="D77" i="8"/>
  <c r="D75" i="8"/>
  <c r="D74" i="8"/>
  <c r="D73" i="8"/>
  <c r="D72" i="8"/>
  <c r="D71" i="8"/>
  <c r="D70" i="8"/>
  <c r="D66" i="8"/>
  <c r="D65" i="8"/>
  <c r="D64" i="8"/>
  <c r="D62" i="8"/>
  <c r="D60" i="8"/>
  <c r="D59" i="8"/>
  <c r="D58" i="8"/>
  <c r="D63" i="8"/>
  <c r="D61" i="8"/>
  <c r="D57" i="8"/>
  <c r="D56" i="8"/>
  <c r="D55" i="8"/>
  <c r="D54" i="8"/>
  <c r="D45" i="8"/>
  <c r="D53" i="8"/>
  <c r="D51" i="8"/>
  <c r="D50" i="8"/>
  <c r="D49" i="8"/>
  <c r="D48" i="8"/>
  <c r="D52" i="8"/>
  <c r="D44" i="8"/>
  <c r="D43" i="8"/>
  <c r="D35" i="8"/>
  <c r="D42" i="8"/>
  <c r="D41" i="8"/>
  <c r="D40" i="8"/>
  <c r="D38" i="8"/>
  <c r="D37" i="8"/>
  <c r="D39" i="8"/>
  <c r="D36" i="8"/>
  <c r="D34" i="8"/>
  <c r="D33" i="8"/>
  <c r="D24" i="8"/>
  <c r="D23" i="8"/>
  <c r="D32" i="8"/>
  <c r="D31" i="8"/>
  <c r="D30" i="8"/>
  <c r="D29" i="8"/>
  <c r="D28" i="8"/>
  <c r="D27" i="8"/>
  <c r="D26" i="8"/>
  <c r="D25" i="8"/>
  <c r="D21" i="8"/>
  <c r="D22" i="8"/>
  <c r="D20" i="8"/>
  <c r="D19" i="8"/>
  <c r="D18" i="8"/>
  <c r="D17" i="8"/>
  <c r="D16" i="8"/>
  <c r="D15" i="8"/>
  <c r="D14" i="8"/>
  <c r="D13" i="8"/>
  <c r="D12" i="8"/>
  <c r="D11" i="8"/>
  <c r="D10" i="8"/>
  <c r="D9" i="8"/>
  <c r="D8" i="8"/>
  <c r="D7" i="8"/>
  <c r="D6" i="8"/>
  <c r="D5" i="8"/>
  <c r="D4" i="8"/>
  <c r="D3" i="8"/>
  <c r="D2" i="8"/>
  <c r="K86" i="10" l="1" a="1"/>
  <c r="K86" i="10" s="1"/>
  <c r="I2" i="8"/>
  <c r="AD86" i="10"/>
  <c r="K111" i="10" a="1"/>
  <c r="K111" i="10" s="1"/>
  <c r="L111" i="10" a="1"/>
  <c r="L111" i="10" s="1"/>
  <c r="T86" i="10"/>
  <c r="Y57" i="10"/>
  <c r="O86" i="10"/>
  <c r="AD57" i="10"/>
  <c r="Y86" i="10"/>
  <c r="O57" i="10"/>
  <c r="T57" i="10"/>
  <c r="L57" i="10" a="1"/>
  <c r="L57" i="10" s="1"/>
  <c r="L86" i="10" a="1"/>
  <c r="L86" i="10" s="1"/>
  <c r="AE18" i="10"/>
  <c r="AE26" i="10"/>
  <c r="AE34" i="10"/>
  <c r="AE42" i="10"/>
  <c r="AE50" i="10"/>
  <c r="AG13" i="10"/>
  <c r="AG17" i="10"/>
  <c r="AG21" i="10"/>
  <c r="AG25" i="10"/>
  <c r="AG29" i="10"/>
  <c r="AG33" i="10"/>
  <c r="AG37" i="10"/>
  <c r="AG41" i="10"/>
  <c r="AG45" i="10"/>
  <c r="AG49" i="10"/>
  <c r="AG53" i="10"/>
  <c r="Z15" i="10"/>
  <c r="Y18" i="10"/>
  <c r="AB20" i="10"/>
  <c r="Z23" i="10"/>
  <c r="Y26" i="10"/>
  <c r="AB28" i="10"/>
  <c r="Z31" i="10"/>
  <c r="Y34" i="10"/>
  <c r="AB36" i="10"/>
  <c r="Z39" i="10"/>
  <c r="Y42" i="10"/>
  <c r="AB44" i="10"/>
  <c r="Z47" i="10"/>
  <c r="Y50" i="10"/>
  <c r="AB52" i="10"/>
  <c r="Z55" i="10"/>
  <c r="U13" i="10"/>
  <c r="T16" i="10"/>
  <c r="W18" i="10"/>
  <c r="U21" i="10"/>
  <c r="T24" i="10"/>
  <c r="W26" i="10"/>
  <c r="U29" i="10"/>
  <c r="T32" i="10"/>
  <c r="W34" i="10"/>
  <c r="U37" i="10"/>
  <c r="T40" i="10"/>
  <c r="W42" i="10"/>
  <c r="U45" i="10"/>
  <c r="T48" i="10"/>
  <c r="W50" i="10"/>
  <c r="U53" i="10"/>
  <c r="W12" i="10"/>
  <c r="O23" i="10"/>
  <c r="R25" i="10"/>
  <c r="P28" i="10"/>
  <c r="O31" i="10"/>
  <c r="R33" i="10"/>
  <c r="P36" i="10"/>
  <c r="O39" i="10"/>
  <c r="R41" i="10"/>
  <c r="P44" i="10"/>
  <c r="O47" i="10"/>
  <c r="R49" i="10"/>
  <c r="P52" i="10"/>
  <c r="O55" i="10"/>
  <c r="R14" i="10"/>
  <c r="P17" i="10"/>
  <c r="O20" i="10"/>
  <c r="AD12" i="10"/>
  <c r="L16" i="10" a="1"/>
  <c r="L16" i="10" s="1"/>
  <c r="L24" i="10" a="1"/>
  <c r="L24" i="10" s="1"/>
  <c r="L32" i="10" a="1"/>
  <c r="L32" i="10" s="1"/>
  <c r="L40" i="10" a="1"/>
  <c r="L40" i="10" s="1"/>
  <c r="L48" i="10" a="1"/>
  <c r="L48" i="10" s="1"/>
  <c r="L12" i="10" a="1"/>
  <c r="L12" i="10" s="1"/>
  <c r="K51" i="10" a="1"/>
  <c r="K51" i="10" s="1"/>
  <c r="AD23" i="10"/>
  <c r="AD35" i="10"/>
  <c r="AD39" i="10"/>
  <c r="AE19" i="10"/>
  <c r="AE27" i="10"/>
  <c r="AE35" i="10"/>
  <c r="AE43" i="10"/>
  <c r="AE51" i="10"/>
  <c r="AD14" i="10"/>
  <c r="AD18" i="10"/>
  <c r="AD22" i="10"/>
  <c r="AD26" i="10"/>
  <c r="AD30" i="10"/>
  <c r="AD34" i="10"/>
  <c r="AD38" i="10"/>
  <c r="AD42" i="10"/>
  <c r="AD46" i="10"/>
  <c r="AD50" i="10"/>
  <c r="AD54" i="10"/>
  <c r="Y13" i="10"/>
  <c r="AB15" i="10"/>
  <c r="Z18" i="10"/>
  <c r="Y21" i="10"/>
  <c r="AB23" i="10"/>
  <c r="Z26" i="10"/>
  <c r="Y29" i="10"/>
  <c r="AB31" i="10"/>
  <c r="Z34" i="10"/>
  <c r="Y37" i="10"/>
  <c r="AB39" i="10"/>
  <c r="Z42" i="10"/>
  <c r="Y45" i="10"/>
  <c r="AB47" i="10"/>
  <c r="Z50" i="10"/>
  <c r="Y53" i="10"/>
  <c r="AB55" i="10"/>
  <c r="W13" i="10"/>
  <c r="U16" i="10"/>
  <c r="T19" i="10"/>
  <c r="W21" i="10"/>
  <c r="U24" i="10"/>
  <c r="T27" i="10"/>
  <c r="W29" i="10"/>
  <c r="U32" i="10"/>
  <c r="T35" i="10"/>
  <c r="W37" i="10"/>
  <c r="U40" i="10"/>
  <c r="T43" i="10"/>
  <c r="W45" i="10"/>
  <c r="U48" i="10"/>
  <c r="T51" i="10"/>
  <c r="W53" i="10"/>
  <c r="U12" i="10"/>
  <c r="P23" i="10"/>
  <c r="O26" i="10"/>
  <c r="R28" i="10"/>
  <c r="P31" i="10"/>
  <c r="O34" i="10"/>
  <c r="R36" i="10"/>
  <c r="P39" i="10"/>
  <c r="O42" i="10"/>
  <c r="R44" i="10"/>
  <c r="P47" i="10"/>
  <c r="O50" i="10"/>
  <c r="R52" i="10"/>
  <c r="P55" i="10"/>
  <c r="O15" i="10"/>
  <c r="R17" i="10"/>
  <c r="P20" i="10"/>
  <c r="Y12" i="10"/>
  <c r="L17" i="10" a="1"/>
  <c r="L17" i="10" s="1"/>
  <c r="L25" i="10" a="1"/>
  <c r="L25" i="10" s="1"/>
  <c r="L33" i="10" a="1"/>
  <c r="L33" i="10" s="1"/>
  <c r="L41" i="10" a="1"/>
  <c r="L41" i="10" s="1"/>
  <c r="L49" i="10" a="1"/>
  <c r="L49" i="10" s="1"/>
  <c r="K52" i="10" a="1"/>
  <c r="K52" i="10" s="1"/>
  <c r="L34" i="10" a="1"/>
  <c r="L34" i="10" s="1"/>
  <c r="L42" i="10" a="1"/>
  <c r="L42" i="10" s="1"/>
  <c r="K53" i="10" a="1"/>
  <c r="K53" i="10" s="1"/>
  <c r="AE21" i="10"/>
  <c r="AE20" i="10"/>
  <c r="AE28" i="10"/>
  <c r="AE36" i="10"/>
  <c r="AE44" i="10"/>
  <c r="AE52" i="10"/>
  <c r="AG14" i="10"/>
  <c r="AG18" i="10"/>
  <c r="AG22" i="10"/>
  <c r="AG26" i="10"/>
  <c r="AG30" i="10"/>
  <c r="AG34" i="10"/>
  <c r="AG38" i="10"/>
  <c r="AG42" i="10"/>
  <c r="AG46" i="10"/>
  <c r="AG50" i="10"/>
  <c r="AG54" i="10"/>
  <c r="Z13" i="10"/>
  <c r="Y16" i="10"/>
  <c r="AB18" i="10"/>
  <c r="Z21" i="10"/>
  <c r="Y24" i="10"/>
  <c r="AB26" i="10"/>
  <c r="Z29" i="10"/>
  <c r="Y32" i="10"/>
  <c r="AB34" i="10"/>
  <c r="Z37" i="10"/>
  <c r="Y40" i="10"/>
  <c r="AB42" i="10"/>
  <c r="Z45" i="10"/>
  <c r="Y48" i="10"/>
  <c r="AB50" i="10"/>
  <c r="Z53" i="10"/>
  <c r="AB12" i="10"/>
  <c r="T14" i="10"/>
  <c r="W16" i="10"/>
  <c r="U19" i="10"/>
  <c r="T22" i="10"/>
  <c r="W24" i="10"/>
  <c r="U27" i="10"/>
  <c r="T30" i="10"/>
  <c r="W32" i="10"/>
  <c r="U35" i="10"/>
  <c r="T38" i="10"/>
  <c r="W40" i="10"/>
  <c r="U43" i="10"/>
  <c r="T46" i="10"/>
  <c r="W48" i="10"/>
  <c r="U51" i="10"/>
  <c r="T54" i="10"/>
  <c r="R23" i="10"/>
  <c r="P26" i="10"/>
  <c r="O29" i="10"/>
  <c r="R31" i="10"/>
  <c r="P34" i="10"/>
  <c r="O37" i="10"/>
  <c r="R39" i="10"/>
  <c r="P42" i="10"/>
  <c r="O45" i="10"/>
  <c r="R47" i="10"/>
  <c r="P50" i="10"/>
  <c r="O53" i="10"/>
  <c r="R55" i="10"/>
  <c r="P15" i="10"/>
  <c r="O18" i="10"/>
  <c r="R20" i="10"/>
  <c r="T12" i="10"/>
  <c r="L18" i="10" a="1"/>
  <c r="L18" i="10" s="1"/>
  <c r="L26" i="10" a="1"/>
  <c r="L26" i="10" s="1"/>
  <c r="L50" i="10" a="1"/>
  <c r="L50" i="10" s="1"/>
  <c r="K45" i="10" a="1"/>
  <c r="K45" i="10" s="1"/>
  <c r="AE13" i="10"/>
  <c r="AE29" i="10"/>
  <c r="AE37" i="10"/>
  <c r="AE45" i="10"/>
  <c r="AE53" i="10"/>
  <c r="AD15" i="10"/>
  <c r="AD19" i="10"/>
  <c r="AD27" i="10"/>
  <c r="AD31" i="10"/>
  <c r="AD43" i="10"/>
  <c r="AE14" i="10"/>
  <c r="AE30" i="10"/>
  <c r="AE46" i="10"/>
  <c r="AG15" i="10"/>
  <c r="AG23" i="10"/>
  <c r="AG31" i="10"/>
  <c r="AG39" i="10"/>
  <c r="AD47" i="10"/>
  <c r="AG52" i="10"/>
  <c r="Y14" i="10"/>
  <c r="AB17" i="10"/>
  <c r="Z22" i="10"/>
  <c r="Y27" i="10"/>
  <c r="AB30" i="10"/>
  <c r="Z35" i="10"/>
  <c r="Y39" i="10"/>
  <c r="AB43" i="10"/>
  <c r="Z48" i="10"/>
  <c r="Y52" i="10"/>
  <c r="W15" i="10"/>
  <c r="U20" i="10"/>
  <c r="T25" i="10"/>
  <c r="W28" i="10"/>
  <c r="U33" i="10"/>
  <c r="T37" i="10"/>
  <c r="W41" i="10"/>
  <c r="U46" i="10"/>
  <c r="T50" i="10"/>
  <c r="W54" i="10"/>
  <c r="R22" i="10"/>
  <c r="P27" i="10"/>
  <c r="O32" i="10"/>
  <c r="R35" i="10"/>
  <c r="P40" i="10"/>
  <c r="O44" i="10"/>
  <c r="R48" i="10"/>
  <c r="P53" i="10"/>
  <c r="O14" i="10"/>
  <c r="R18" i="10"/>
  <c r="P12" i="10"/>
  <c r="L21" i="10" a="1"/>
  <c r="L21" i="10" s="1"/>
  <c r="L35" i="10" a="1"/>
  <c r="L35" i="10" s="1"/>
  <c r="L46" i="10" a="1"/>
  <c r="L46" i="10" s="1"/>
  <c r="K47" i="10" a="1"/>
  <c r="K47" i="10" s="1"/>
  <c r="T17" i="10"/>
  <c r="W20" i="10"/>
  <c r="U25" i="10"/>
  <c r="T29" i="10"/>
  <c r="U38" i="10"/>
  <c r="T42" i="10"/>
  <c r="W46" i="10"/>
  <c r="T55" i="10"/>
  <c r="O24" i="10"/>
  <c r="O36" i="10"/>
  <c r="R40" i="10"/>
  <c r="R53" i="10"/>
  <c r="P14" i="10"/>
  <c r="O12" i="10"/>
  <c r="L36" i="10" a="1"/>
  <c r="L36" i="10" s="1"/>
  <c r="K48" i="10" a="1"/>
  <c r="K48" i="10" s="1"/>
  <c r="L37" i="10" a="1"/>
  <c r="L37" i="10" s="1"/>
  <c r="AE17" i="10"/>
  <c r="AE49" i="10"/>
  <c r="AB33" i="10"/>
  <c r="W19" i="10"/>
  <c r="T41" i="10"/>
  <c r="O22" i="10"/>
  <c r="O35" i="10"/>
  <c r="O48" i="10"/>
  <c r="R21" i="10"/>
  <c r="L44" i="10" a="1"/>
  <c r="L44" i="10" s="1"/>
  <c r="AE41" i="10"/>
  <c r="AD29" i="10"/>
  <c r="AD45" i="10"/>
  <c r="AE15" i="10"/>
  <c r="AE31" i="10"/>
  <c r="AE47" i="10"/>
  <c r="AD16" i="10"/>
  <c r="AD24" i="10"/>
  <c r="AD32" i="10"/>
  <c r="AD40" i="10"/>
  <c r="AG47" i="10"/>
  <c r="AD53" i="10"/>
  <c r="Z14" i="10"/>
  <c r="Y19" i="10"/>
  <c r="AB22" i="10"/>
  <c r="Z27" i="10"/>
  <c r="Y31" i="10"/>
  <c r="AB35" i="10"/>
  <c r="Z40" i="10"/>
  <c r="Y44" i="10"/>
  <c r="AB48" i="10"/>
  <c r="Z52" i="10"/>
  <c r="W33" i="10"/>
  <c r="U50" i="10"/>
  <c r="R27" i="10"/>
  <c r="P32" i="10"/>
  <c r="P45" i="10"/>
  <c r="O49" i="10"/>
  <c r="O19" i="10"/>
  <c r="L22" i="10" a="1"/>
  <c r="L22" i="10" s="1"/>
  <c r="L47" i="10" a="1"/>
  <c r="L47" i="10" s="1"/>
  <c r="L23" i="10" a="1"/>
  <c r="L23" i="10" s="1"/>
  <c r="K49" i="10" a="1"/>
  <c r="K49" i="10" s="1"/>
  <c r="AD17" i="10"/>
  <c r="AD33" i="10"/>
  <c r="AG55" i="10"/>
  <c r="AB19" i="10"/>
  <c r="Y28" i="10"/>
  <c r="Z36" i="10"/>
  <c r="AB45" i="10"/>
  <c r="Y54" i="10"/>
  <c r="T13" i="10"/>
  <c r="W17" i="10"/>
  <c r="T26" i="10"/>
  <c r="U34" i="10"/>
  <c r="W43" i="10"/>
  <c r="U47" i="10"/>
  <c r="R24" i="10"/>
  <c r="O33" i="10"/>
  <c r="R37" i="10"/>
  <c r="R50" i="10"/>
  <c r="P54" i="10"/>
  <c r="R19" i="10"/>
  <c r="L27" i="10" a="1"/>
  <c r="L27" i="10" s="1"/>
  <c r="L52" i="10" a="1"/>
  <c r="L52" i="10" s="1"/>
  <c r="K50" i="10" a="1"/>
  <c r="K50" i="10" s="1"/>
  <c r="U52" i="10"/>
  <c r="R29" i="10"/>
  <c r="O51" i="10"/>
  <c r="P16" i="10"/>
  <c r="L28" i="10" a="1"/>
  <c r="L28" i="10" s="1"/>
  <c r="L53" i="10" a="1"/>
  <c r="L53" i="10" s="1"/>
  <c r="AE55" i="10"/>
  <c r="AD36" i="10"/>
  <c r="AB16" i="10"/>
  <c r="U18" i="10"/>
  <c r="W39" i="10"/>
  <c r="W52" i="10"/>
  <c r="R34" i="10"/>
  <c r="O13" i="10"/>
  <c r="R16" i="10"/>
  <c r="L29" i="10" a="1"/>
  <c r="L29" i="10" s="1"/>
  <c r="AE12" i="10"/>
  <c r="Y17" i="10"/>
  <c r="Z38" i="10"/>
  <c r="Z51" i="10"/>
  <c r="U23" i="10"/>
  <c r="U36" i="10"/>
  <c r="U49" i="10"/>
  <c r="P30" i="10"/>
  <c r="P43" i="10"/>
  <c r="L19" i="10" a="1"/>
  <c r="L19" i="10" s="1"/>
  <c r="AD13" i="10"/>
  <c r="AE16" i="10"/>
  <c r="AE32" i="10"/>
  <c r="AE48" i="10"/>
  <c r="AG16" i="10"/>
  <c r="AG24" i="10"/>
  <c r="AG32" i="10"/>
  <c r="AG40" i="10"/>
  <c r="AD48" i="10"/>
  <c r="AD55" i="10"/>
  <c r="AB14" i="10"/>
  <c r="Z19" i="10"/>
  <c r="Y23" i="10"/>
  <c r="AB27" i="10"/>
  <c r="Z32" i="10"/>
  <c r="Y36" i="10"/>
  <c r="AB40" i="10"/>
  <c r="Z44" i="10"/>
  <c r="Y49" i="10"/>
  <c r="AB53" i="10"/>
  <c r="U17" i="10"/>
  <c r="T21" i="10"/>
  <c r="W25" i="10"/>
  <c r="U30" i="10"/>
  <c r="T34" i="10"/>
  <c r="W38" i="10"/>
  <c r="U42" i="10"/>
  <c r="T47" i="10"/>
  <c r="W51" i="10"/>
  <c r="U55" i="10"/>
  <c r="P24" i="10"/>
  <c r="O28" i="10"/>
  <c r="R32" i="10"/>
  <c r="P37" i="10"/>
  <c r="O41" i="10"/>
  <c r="R45" i="10"/>
  <c r="P49" i="10"/>
  <c r="O54" i="10"/>
  <c r="R15" i="10"/>
  <c r="P19" i="10"/>
  <c r="L51" i="10" a="1"/>
  <c r="L51" i="10" s="1"/>
  <c r="AE33" i="10"/>
  <c r="AD25" i="10"/>
  <c r="AD41" i="10"/>
  <c r="AG48" i="10"/>
  <c r="Y15" i="10"/>
  <c r="Z24" i="10"/>
  <c r="AB32" i="10"/>
  <c r="Y41" i="10"/>
  <c r="Z49" i="10"/>
  <c r="U22" i="10"/>
  <c r="W30" i="10"/>
  <c r="T39" i="10"/>
  <c r="T52" i="10"/>
  <c r="W55" i="10"/>
  <c r="P29" i="10"/>
  <c r="P41" i="10"/>
  <c r="O46" i="10"/>
  <c r="O16" i="10"/>
  <c r="L13" i="10" a="1"/>
  <c r="L13" i="10" s="1"/>
  <c r="L38" i="10" a="1"/>
  <c r="L38" i="10" s="1"/>
  <c r="W35" i="10"/>
  <c r="T44" i="10"/>
  <c r="O25" i="10"/>
  <c r="P33" i="10"/>
  <c r="R42" i="10"/>
  <c r="R54" i="10"/>
  <c r="L14" i="10" a="1"/>
  <c r="L14" i="10" s="1"/>
  <c r="K54" i="10" a="1"/>
  <c r="K54" i="10" s="1"/>
  <c r="AE23" i="10"/>
  <c r="AD28" i="10"/>
  <c r="AD44" i="10"/>
  <c r="Y25" i="10"/>
  <c r="Z33" i="10"/>
  <c r="AB41" i="10"/>
  <c r="Y51" i="10"/>
  <c r="W14" i="10"/>
  <c r="T23" i="10"/>
  <c r="U31" i="10"/>
  <c r="T49" i="10"/>
  <c r="O30" i="10"/>
  <c r="P38" i="10"/>
  <c r="R46" i="10"/>
  <c r="P21" i="10"/>
  <c r="L15" i="10" a="1"/>
  <c r="L15" i="10" s="1"/>
  <c r="K55" i="10" a="1"/>
  <c r="K55" i="10" s="1"/>
  <c r="AE24" i="10"/>
  <c r="AG28" i="10"/>
  <c r="AG36" i="10"/>
  <c r="AG51" i="10"/>
  <c r="Z25" i="10"/>
  <c r="AB46" i="10"/>
  <c r="T15" i="10"/>
  <c r="W31" i="10"/>
  <c r="T53" i="10"/>
  <c r="R26" i="10"/>
  <c r="P13" i="10"/>
  <c r="L30" i="10" a="1"/>
  <c r="L30" i="10" s="1"/>
  <c r="AD21" i="10"/>
  <c r="AE22" i="10"/>
  <c r="AE38" i="10"/>
  <c r="AE54" i="10"/>
  <c r="AG19" i="10"/>
  <c r="AG27" i="10"/>
  <c r="AG35" i="10"/>
  <c r="AG43" i="10"/>
  <c r="AD49" i="10"/>
  <c r="AG12" i="10"/>
  <c r="Z16" i="10"/>
  <c r="Y20" i="10"/>
  <c r="AB24" i="10"/>
  <c r="Z28" i="10"/>
  <c r="Y33" i="10"/>
  <c r="AB37" i="10"/>
  <c r="Z41" i="10"/>
  <c r="Y46" i="10"/>
  <c r="AB49" i="10"/>
  <c r="Z54" i="10"/>
  <c r="U14" i="10"/>
  <c r="T18" i="10"/>
  <c r="W22" i="10"/>
  <c r="U26" i="10"/>
  <c r="T31" i="10"/>
  <c r="U39" i="10"/>
  <c r="W47" i="10"/>
  <c r="O38" i="10"/>
  <c r="P46" i="10"/>
  <c r="O21" i="10"/>
  <c r="L39" i="10" a="1"/>
  <c r="L39" i="10" s="1"/>
  <c r="AE39" i="10"/>
  <c r="AD20" i="10"/>
  <c r="AD51" i="10"/>
  <c r="Z20" i="10"/>
  <c r="AB29" i="10"/>
  <c r="Y38" i="10"/>
  <c r="Z46" i="10"/>
  <c r="AB54" i="10"/>
  <c r="W27" i="10"/>
  <c r="T36" i="10"/>
  <c r="U44" i="10"/>
  <c r="P25" i="10"/>
  <c r="O43" i="10"/>
  <c r="P51" i="10"/>
  <c r="L43" i="10" a="1"/>
  <c r="L43" i="10" s="1"/>
  <c r="L54" i="10" a="1"/>
  <c r="L54" i="10" s="1"/>
  <c r="AE40" i="10"/>
  <c r="AG20" i="10"/>
  <c r="AG44" i="10"/>
  <c r="AB21" i="10"/>
  <c r="Y30" i="10"/>
  <c r="Y43" i="10"/>
  <c r="Y55" i="10"/>
  <c r="T28" i="10"/>
  <c r="W44" i="10"/>
  <c r="R38" i="10"/>
  <c r="R51" i="10"/>
  <c r="O17" i="10"/>
  <c r="L55" i="10" a="1"/>
  <c r="L55" i="10" s="1"/>
  <c r="AE25" i="10"/>
  <c r="AD37" i="10"/>
  <c r="Y35" i="10"/>
  <c r="W23" i="10"/>
  <c r="P22" i="10"/>
  <c r="R13" i="10"/>
  <c r="P35" i="10"/>
  <c r="O40" i="10"/>
  <c r="Z12" i="10"/>
  <c r="U15" i="10"/>
  <c r="K46" i="10" a="1"/>
  <c r="K46" i="10" s="1"/>
  <c r="AB38" i="10"/>
  <c r="U28" i="10"/>
  <c r="O27" i="10"/>
  <c r="P18" i="10"/>
  <c r="Y47" i="10"/>
  <c r="L20" i="10" a="1"/>
  <c r="L20" i="10" s="1"/>
  <c r="L45" i="10" a="1"/>
  <c r="L45" i="10" s="1"/>
  <c r="T20" i="10"/>
  <c r="AD52" i="10"/>
  <c r="Z43" i="10"/>
  <c r="T33" i="10"/>
  <c r="R30" i="10"/>
  <c r="R12" i="10"/>
  <c r="AB13" i="10"/>
  <c r="W36" i="10"/>
  <c r="U41" i="10"/>
  <c r="Y22" i="10"/>
  <c r="R43" i="10"/>
  <c r="W49" i="10"/>
  <c r="Z30" i="10"/>
  <c r="U54" i="10"/>
  <c r="Z17" i="10"/>
  <c r="AB51" i="10"/>
  <c r="L31" i="10" a="1"/>
  <c r="L31" i="10" s="1"/>
  <c r="T45" i="10"/>
  <c r="AB25" i="10"/>
  <c r="P48" i="10"/>
  <c r="O52" i="10"/>
  <c r="K57" i="10" a="1"/>
  <c r="K57" i="10" s="1"/>
  <c r="K22" i="10" a="1"/>
  <c r="K22" i="10" s="1"/>
  <c r="K29" i="10" a="1"/>
  <c r="K29" i="10" s="1"/>
  <c r="K35" i="10" a="1"/>
  <c r="K35" i="10" s="1"/>
  <c r="K42" i="10" a="1"/>
  <c r="K42" i="10" s="1"/>
  <c r="K18" i="10" a="1"/>
  <c r="K18" i="10" s="1"/>
  <c r="H20" i="10"/>
  <c r="H28" i="10"/>
  <c r="H36" i="10"/>
  <c r="H44" i="10"/>
  <c r="H52" i="10"/>
  <c r="D16" i="10"/>
  <c r="D25" i="10"/>
  <c r="D33" i="10"/>
  <c r="D45" i="10"/>
  <c r="D53" i="10"/>
  <c r="C18" i="10"/>
  <c r="C26" i="10"/>
  <c r="C36" i="10"/>
  <c r="C46" i="10"/>
  <c r="C54" i="10"/>
  <c r="H13" i="10"/>
  <c r="H21" i="10"/>
  <c r="H29" i="10"/>
  <c r="H37" i="10"/>
  <c r="H45" i="10"/>
  <c r="H53" i="10"/>
  <c r="D18" i="10"/>
  <c r="D26" i="10"/>
  <c r="D36" i="10"/>
  <c r="D46" i="10"/>
  <c r="D54" i="10"/>
  <c r="C19" i="10"/>
  <c r="C39" i="10"/>
  <c r="C55" i="10"/>
  <c r="K23" i="10" a="1"/>
  <c r="K23" i="10" s="1"/>
  <c r="K36" i="10" a="1"/>
  <c r="K36" i="10" s="1"/>
  <c r="K43" i="10" a="1"/>
  <c r="K43" i="10" s="1"/>
  <c r="K19" i="10" a="1"/>
  <c r="K19" i="10" s="1"/>
  <c r="C27" i="10"/>
  <c r="C47" i="10"/>
  <c r="K24" i="10" a="1"/>
  <c r="K24" i="10" s="1"/>
  <c r="K30" i="10" a="1"/>
  <c r="K30" i="10" s="1"/>
  <c r="K37" i="10" a="1"/>
  <c r="K37" i="10" s="1"/>
  <c r="K44" i="10" a="1"/>
  <c r="K44" i="10" s="1"/>
  <c r="K20" i="10" a="1"/>
  <c r="K20" i="10" s="1"/>
  <c r="H14" i="10"/>
  <c r="H22" i="10"/>
  <c r="H30" i="10"/>
  <c r="H38" i="10"/>
  <c r="H46" i="10"/>
  <c r="H54" i="10"/>
  <c r="D19" i="10"/>
  <c r="D27" i="10"/>
  <c r="D39" i="10"/>
  <c r="D47" i="10"/>
  <c r="D55" i="10"/>
  <c r="C20" i="10"/>
  <c r="C28" i="10"/>
  <c r="C40" i="10"/>
  <c r="C48" i="10"/>
  <c r="C12" i="10"/>
  <c r="C31" i="10"/>
  <c r="D15" i="10"/>
  <c r="C16" i="10"/>
  <c r="K25" i="10" a="1"/>
  <c r="K25" i="10" s="1"/>
  <c r="K31" i="10" a="1"/>
  <c r="K31" i="10" s="1"/>
  <c r="K14" i="10" a="1"/>
  <c r="K14" i="10" s="1"/>
  <c r="K21" i="10" a="1"/>
  <c r="K21" i="10" s="1"/>
  <c r="H15" i="10"/>
  <c r="H23" i="10"/>
  <c r="H31" i="10"/>
  <c r="H39" i="10"/>
  <c r="H47" i="10"/>
  <c r="H55" i="10"/>
  <c r="D20" i="10"/>
  <c r="D28" i="10"/>
  <c r="D40" i="10"/>
  <c r="D48" i="10"/>
  <c r="D12" i="10"/>
  <c r="C21" i="10"/>
  <c r="C29" i="10"/>
  <c r="C41" i="10"/>
  <c r="C49" i="10"/>
  <c r="C23" i="10"/>
  <c r="K41" i="10" a="1"/>
  <c r="K41" i="10" s="1"/>
  <c r="H27" i="10"/>
  <c r="D24" i="10"/>
  <c r="C53" i="10"/>
  <c r="K32" i="10" a="1"/>
  <c r="K32" i="10" s="1"/>
  <c r="K38" i="10" a="1"/>
  <c r="K38" i="10" s="1"/>
  <c r="K15" i="10" a="1"/>
  <c r="K15" i="10" s="1"/>
  <c r="K13" i="10" a="1"/>
  <c r="K13" i="10" s="1"/>
  <c r="H16" i="10"/>
  <c r="H24" i="10"/>
  <c r="H32" i="10"/>
  <c r="H40" i="10"/>
  <c r="H48" i="10"/>
  <c r="H12" i="10"/>
  <c r="D21" i="10"/>
  <c r="D29" i="10"/>
  <c r="D41" i="10"/>
  <c r="D49" i="10"/>
  <c r="C13" i="10"/>
  <c r="C22" i="10"/>
  <c r="C30" i="10"/>
  <c r="C42" i="10"/>
  <c r="C50" i="10"/>
  <c r="C14" i="10"/>
  <c r="K34" i="10" a="1"/>
  <c r="K34" i="10" s="1"/>
  <c r="H35" i="10"/>
  <c r="D32" i="10"/>
  <c r="C25" i="10"/>
  <c r="K26" i="10" a="1"/>
  <c r="K26" i="10" s="1"/>
  <c r="K33" i="10" a="1"/>
  <c r="K33" i="10" s="1"/>
  <c r="K39" i="10" a="1"/>
  <c r="K39" i="10" s="1"/>
  <c r="K16" i="10" a="1"/>
  <c r="K16" i="10" s="1"/>
  <c r="K12" i="10" a="1"/>
  <c r="K12" i="10" s="1"/>
  <c r="H17" i="10"/>
  <c r="H25" i="10"/>
  <c r="H33" i="10"/>
  <c r="H41" i="10"/>
  <c r="H49" i="10"/>
  <c r="D13" i="10"/>
  <c r="D22" i="10"/>
  <c r="D30" i="10"/>
  <c r="D42" i="10"/>
  <c r="D50" i="10"/>
  <c r="C43" i="10"/>
  <c r="C51" i="10"/>
  <c r="H19" i="10"/>
  <c r="H51" i="10"/>
  <c r="D52" i="10"/>
  <c r="C45" i="10"/>
  <c r="K27" i="10" a="1"/>
  <c r="K27" i="10" s="1"/>
  <c r="K40" i="10" a="1"/>
  <c r="K40" i="10" s="1"/>
  <c r="K17" i="10" a="1"/>
  <c r="K17" i="10" s="1"/>
  <c r="H18" i="10"/>
  <c r="H26" i="10"/>
  <c r="H34" i="10"/>
  <c r="H42" i="10"/>
  <c r="H50" i="10"/>
  <c r="D14" i="10"/>
  <c r="D23" i="10"/>
  <c r="D31" i="10"/>
  <c r="D43" i="10"/>
  <c r="D51" i="10"/>
  <c r="C15" i="10"/>
  <c r="C24" i="10"/>
  <c r="C32" i="10"/>
  <c r="C44" i="10"/>
  <c r="C52" i="10"/>
  <c r="K28" i="10" a="1"/>
  <c r="K28" i="10" s="1"/>
  <c r="H43" i="10"/>
  <c r="D44" i="10"/>
  <c r="C33" i="10"/>
  <c r="I559" i="8"/>
  <c r="I506" i="8"/>
  <c r="J286" i="8"/>
  <c r="I231" i="8"/>
  <c r="I32" i="8"/>
  <c r="I98" i="8"/>
  <c r="I154" i="8"/>
  <c r="I246" i="8"/>
  <c r="I281" i="8"/>
  <c r="I385" i="8"/>
  <c r="I433" i="8"/>
  <c r="I488" i="8"/>
  <c r="J263" i="8"/>
  <c r="I38" i="8"/>
  <c r="I107" i="8"/>
  <c r="I173" i="8"/>
  <c r="I256" i="8"/>
  <c r="I306" i="8"/>
  <c r="I372" i="8"/>
  <c r="I441" i="8"/>
  <c r="I497" i="8"/>
  <c r="I596" i="8"/>
  <c r="J393" i="8"/>
  <c r="I167" i="8"/>
  <c r="I410" i="8"/>
  <c r="I48" i="8"/>
  <c r="I116" i="8"/>
  <c r="I184" i="8"/>
  <c r="I235" i="8"/>
  <c r="I336" i="8"/>
  <c r="I396" i="8"/>
  <c r="I110" i="8"/>
  <c r="I504" i="8"/>
  <c r="I608" i="8"/>
  <c r="J461" i="8"/>
  <c r="I21" i="8"/>
  <c r="I474" i="8"/>
  <c r="I56" i="8"/>
  <c r="I126" i="8"/>
  <c r="I202" i="8"/>
  <c r="I269" i="8"/>
  <c r="I344" i="8"/>
  <c r="I403" i="8"/>
  <c r="I226" i="8"/>
  <c r="I513" i="8"/>
  <c r="J25" i="8"/>
  <c r="J475" i="8"/>
  <c r="I311" i="8"/>
  <c r="I64" i="8"/>
  <c r="I138" i="8"/>
  <c r="I204" i="8"/>
  <c r="I268" i="8"/>
  <c r="I280" i="8"/>
  <c r="I413" i="8"/>
  <c r="I449" i="8"/>
  <c r="I525" i="8"/>
  <c r="J77" i="8"/>
  <c r="J522" i="8"/>
  <c r="I94" i="8"/>
  <c r="I377" i="8"/>
  <c r="I6" i="8"/>
  <c r="I75" i="8"/>
  <c r="I142" i="8"/>
  <c r="I211" i="8"/>
  <c r="I287" i="8"/>
  <c r="I248" i="8"/>
  <c r="I423" i="8"/>
  <c r="I460" i="8"/>
  <c r="I540" i="8"/>
  <c r="J146" i="8"/>
  <c r="J538" i="8"/>
  <c r="I14" i="8"/>
  <c r="I86" i="8"/>
  <c r="I149" i="8"/>
  <c r="I217" i="8"/>
  <c r="I298" i="8"/>
  <c r="I358" i="8"/>
  <c r="I341" i="8"/>
  <c r="I468" i="8"/>
  <c r="I550" i="8"/>
  <c r="J210" i="8"/>
  <c r="J592" i="8"/>
  <c r="I521" i="8"/>
  <c r="J521" i="8"/>
  <c r="I552" i="8"/>
  <c r="J552" i="8"/>
  <c r="I560" i="8"/>
  <c r="J560" i="8"/>
  <c r="I576" i="8"/>
  <c r="J576" i="8"/>
  <c r="I591" i="8"/>
  <c r="J591" i="8"/>
  <c r="I537" i="8"/>
  <c r="J537" i="8"/>
  <c r="I551" i="8"/>
  <c r="J551" i="8"/>
  <c r="I439" i="8"/>
  <c r="J439" i="8"/>
  <c r="I529" i="8"/>
  <c r="J529" i="8"/>
  <c r="I562" i="8"/>
  <c r="J562" i="8"/>
  <c r="I573" i="8"/>
  <c r="J573" i="8"/>
  <c r="I539" i="8"/>
  <c r="J539" i="8"/>
  <c r="I586" i="8"/>
  <c r="J586" i="8"/>
  <c r="I570" i="8"/>
  <c r="J570" i="8"/>
  <c r="I605" i="8"/>
  <c r="J605" i="8"/>
  <c r="I8" i="8"/>
  <c r="I16" i="8"/>
  <c r="I26" i="8"/>
  <c r="I24" i="8"/>
  <c r="I41" i="8"/>
  <c r="I50" i="8"/>
  <c r="I61" i="8"/>
  <c r="I66" i="8"/>
  <c r="I76" i="8"/>
  <c r="I89" i="8"/>
  <c r="I93" i="8"/>
  <c r="I101" i="8"/>
  <c r="I105" i="8"/>
  <c r="I117" i="8"/>
  <c r="I129" i="8"/>
  <c r="I140" i="8"/>
  <c r="I139" i="8"/>
  <c r="I148" i="8"/>
  <c r="I171" i="8"/>
  <c r="I145" i="8"/>
  <c r="I179" i="8"/>
  <c r="I185" i="8"/>
  <c r="I187" i="8"/>
  <c r="I200" i="8"/>
  <c r="I218" i="8"/>
  <c r="I221" i="8"/>
  <c r="I227" i="8"/>
  <c r="I243" i="8"/>
  <c r="I258" i="8"/>
  <c r="I229" i="8"/>
  <c r="I272" i="8"/>
  <c r="I275" i="8"/>
  <c r="I289" i="8"/>
  <c r="I303" i="8"/>
  <c r="I310" i="8"/>
  <c r="I282" i="8"/>
  <c r="I302" i="8"/>
  <c r="I295" i="8"/>
  <c r="I349" i="8"/>
  <c r="I315" i="8"/>
  <c r="I279" i="8"/>
  <c r="I365" i="8"/>
  <c r="I378" i="8"/>
  <c r="I383" i="8"/>
  <c r="I388" i="8"/>
  <c r="I387" i="8"/>
  <c r="I404" i="8"/>
  <c r="I415" i="8"/>
  <c r="I398" i="8"/>
  <c r="I362" i="8"/>
  <c r="I425" i="8"/>
  <c r="I429" i="8"/>
  <c r="I442" i="8"/>
  <c r="I122" i="8"/>
  <c r="I343" i="8"/>
  <c r="I452" i="8"/>
  <c r="I456" i="8"/>
  <c r="I470" i="8"/>
  <c r="I480" i="8"/>
  <c r="I490" i="8"/>
  <c r="I499" i="8"/>
  <c r="I511" i="8"/>
  <c r="I518" i="8"/>
  <c r="I524" i="8"/>
  <c r="J23" i="8"/>
  <c r="J81" i="8"/>
  <c r="J169" i="8"/>
  <c r="J230" i="8"/>
  <c r="J313" i="8"/>
  <c r="J376" i="8"/>
  <c r="J411" i="8"/>
  <c r="I527" i="8"/>
  <c r="J527" i="8"/>
  <c r="I549" i="8"/>
  <c r="J549" i="8"/>
  <c r="I440" i="8"/>
  <c r="J440" i="8"/>
  <c r="I530" i="8"/>
  <c r="J530" i="8"/>
  <c r="I565" i="8"/>
  <c r="J565" i="8"/>
  <c r="I531" i="8"/>
  <c r="J531" i="8"/>
  <c r="I580" i="8"/>
  <c r="J580" i="8"/>
  <c r="I588" i="8"/>
  <c r="J588" i="8"/>
  <c r="I593" i="8"/>
  <c r="J593" i="8"/>
  <c r="I582" i="8"/>
  <c r="J582" i="8"/>
  <c r="I9" i="8"/>
  <c r="I17" i="8"/>
  <c r="I27" i="8"/>
  <c r="I33" i="8"/>
  <c r="I42" i="8"/>
  <c r="I51" i="8"/>
  <c r="I63" i="8"/>
  <c r="I70" i="8"/>
  <c r="I83" i="8"/>
  <c r="I79" i="8"/>
  <c r="I82" i="8"/>
  <c r="I102" i="8"/>
  <c r="I112" i="8"/>
  <c r="I118" i="8"/>
  <c r="I127" i="8"/>
  <c r="I143" i="8"/>
  <c r="I150" i="8"/>
  <c r="I162" i="8"/>
  <c r="I172" i="8"/>
  <c r="I155" i="8"/>
  <c r="I180" i="8"/>
  <c r="I190" i="8"/>
  <c r="I186" i="8"/>
  <c r="I205" i="8"/>
  <c r="I219" i="8"/>
  <c r="I222" i="8"/>
  <c r="I236" i="8"/>
  <c r="I241" i="8"/>
  <c r="I257" i="8"/>
  <c r="I249" i="8"/>
  <c r="I273" i="8"/>
  <c r="I276" i="8"/>
  <c r="I288" i="8"/>
  <c r="I304" i="8"/>
  <c r="I320" i="8"/>
  <c r="I290" i="8"/>
  <c r="I329" i="8"/>
  <c r="I346" i="8"/>
  <c r="I337" i="8"/>
  <c r="I333" i="8"/>
  <c r="I297" i="8"/>
  <c r="I359" i="8"/>
  <c r="I381" i="8"/>
  <c r="I366" i="8"/>
  <c r="I314" i="8"/>
  <c r="I350" i="8"/>
  <c r="I407" i="8"/>
  <c r="I416" i="8"/>
  <c r="I420" i="8"/>
  <c r="I363" i="8"/>
  <c r="I426" i="8"/>
  <c r="I435" i="8"/>
  <c r="I444" i="8"/>
  <c r="I121" i="8"/>
  <c r="I342" i="8"/>
  <c r="I454" i="8"/>
  <c r="I453" i="8"/>
  <c r="I472" i="8"/>
  <c r="I457" i="8"/>
  <c r="I492" i="8"/>
  <c r="I500" i="8"/>
  <c r="I501" i="8"/>
  <c r="I519" i="8"/>
  <c r="I526" i="8"/>
  <c r="I577" i="8"/>
  <c r="J2" i="8"/>
  <c r="J34" i="8"/>
  <c r="J100" i="8"/>
  <c r="J165" i="8"/>
  <c r="J242" i="8"/>
  <c r="J300" i="8"/>
  <c r="J384" i="8"/>
  <c r="J434" i="8"/>
  <c r="J489" i="8"/>
  <c r="J486" i="8"/>
  <c r="I10" i="8"/>
  <c r="I18" i="8"/>
  <c r="I28" i="8"/>
  <c r="I35" i="8"/>
  <c r="I53" i="8"/>
  <c r="I58" i="8"/>
  <c r="I71" i="8"/>
  <c r="I69" i="8"/>
  <c r="I78" i="8"/>
  <c r="I95" i="8"/>
  <c r="I103" i="8"/>
  <c r="I111" i="8"/>
  <c r="I119" i="8"/>
  <c r="I130" i="8"/>
  <c r="I134" i="8"/>
  <c r="I156" i="8"/>
  <c r="I163" i="8"/>
  <c r="I176" i="8"/>
  <c r="I168" i="8"/>
  <c r="I181" i="8"/>
  <c r="I191" i="8"/>
  <c r="I189" i="8"/>
  <c r="I206" i="8"/>
  <c r="I212" i="8"/>
  <c r="I223" i="8"/>
  <c r="I237" i="8"/>
  <c r="I253" i="8"/>
  <c r="I232" i="8"/>
  <c r="I259" i="8"/>
  <c r="I271" i="8"/>
  <c r="I278" i="8"/>
  <c r="I291" i="8"/>
  <c r="I307" i="8"/>
  <c r="I323" i="8"/>
  <c r="I301" i="8"/>
  <c r="I331" i="8"/>
  <c r="I345" i="8"/>
  <c r="I338" i="8"/>
  <c r="I352" i="8"/>
  <c r="I316" i="8"/>
  <c r="I369" i="8"/>
  <c r="I382" i="8"/>
  <c r="I389" i="8"/>
  <c r="I332" i="8"/>
  <c r="I367" i="8"/>
  <c r="I406" i="8"/>
  <c r="I417" i="8"/>
  <c r="I421" i="8"/>
  <c r="I379" i="8"/>
  <c r="I428" i="8"/>
  <c r="I436" i="8"/>
  <c r="I46" i="8"/>
  <c r="I152" i="8"/>
  <c r="I445" i="8"/>
  <c r="I455" i="8"/>
  <c r="I464" i="8"/>
  <c r="I473" i="8"/>
  <c r="I478" i="8"/>
  <c r="I491" i="8"/>
  <c r="I469" i="8"/>
  <c r="I502" i="8"/>
  <c r="I516" i="8"/>
  <c r="I528" i="8"/>
  <c r="I462" i="8"/>
  <c r="I571" i="8"/>
  <c r="J7" i="8"/>
  <c r="J40" i="8"/>
  <c r="J108" i="8"/>
  <c r="J175" i="8"/>
  <c r="J260" i="8"/>
  <c r="J317" i="8"/>
  <c r="J392" i="8"/>
  <c r="J443" i="8"/>
  <c r="J498" i="8"/>
  <c r="J558" i="8"/>
  <c r="J534" i="8"/>
  <c r="I534" i="8"/>
  <c r="J542" i="8"/>
  <c r="I542" i="8"/>
  <c r="J545" i="8"/>
  <c r="I545" i="8"/>
  <c r="J463" i="8"/>
  <c r="I463" i="8"/>
  <c r="J555" i="8"/>
  <c r="I555" i="8"/>
  <c r="J566" i="8"/>
  <c r="I566" i="8"/>
  <c r="J574" i="8"/>
  <c r="I574" i="8"/>
  <c r="J583" i="8"/>
  <c r="I583" i="8"/>
  <c r="J590" i="8"/>
  <c r="I590" i="8"/>
  <c r="J601" i="8"/>
  <c r="I601" i="8"/>
  <c r="J609" i="8"/>
  <c r="I609" i="8"/>
  <c r="I3" i="8"/>
  <c r="I11" i="8"/>
  <c r="I19" i="8"/>
  <c r="I29" i="8"/>
  <c r="I36" i="8"/>
  <c r="I43" i="8"/>
  <c r="I45" i="8"/>
  <c r="I59" i="8"/>
  <c r="I72" i="8"/>
  <c r="I80" i="8"/>
  <c r="I90" i="8"/>
  <c r="I88" i="8"/>
  <c r="I104" i="8"/>
  <c r="I113" i="8"/>
  <c r="I123" i="8"/>
  <c r="I133" i="8"/>
  <c r="I135" i="8"/>
  <c r="I157" i="8"/>
  <c r="I161" i="8"/>
  <c r="I177" i="8"/>
  <c r="I170" i="8"/>
  <c r="I174" i="8"/>
  <c r="I192" i="8"/>
  <c r="I198" i="8"/>
  <c r="I209" i="8"/>
  <c r="I220" i="8"/>
  <c r="I215" i="8"/>
  <c r="I238" i="8"/>
  <c r="I254" i="8"/>
  <c r="I250" i="8"/>
  <c r="I251" i="8"/>
  <c r="I274" i="8"/>
  <c r="I277" i="8"/>
  <c r="I292" i="8"/>
  <c r="I305" i="8"/>
  <c r="I324" i="8"/>
  <c r="I322" i="8"/>
  <c r="I330" i="8"/>
  <c r="I347" i="8"/>
  <c r="I353" i="8"/>
  <c r="I354" i="8"/>
  <c r="I335" i="8"/>
  <c r="I371" i="8"/>
  <c r="I327" i="8"/>
  <c r="I390" i="8"/>
  <c r="I356" i="8"/>
  <c r="I386" i="8"/>
  <c r="I408" i="8"/>
  <c r="I419" i="8"/>
  <c r="I424" i="8"/>
  <c r="I380" i="8"/>
  <c r="I430" i="8"/>
  <c r="I405" i="8"/>
  <c r="I47" i="8"/>
  <c r="I151" i="8"/>
  <c r="I446" i="8"/>
  <c r="I448" i="8"/>
  <c r="I465" i="8"/>
  <c r="I476" i="8"/>
  <c r="I481" i="8"/>
  <c r="I493" i="8"/>
  <c r="I447" i="8"/>
  <c r="I512" i="8"/>
  <c r="I520" i="8"/>
  <c r="I532" i="8"/>
  <c r="I585" i="8"/>
  <c r="J49" i="8"/>
  <c r="J120" i="8"/>
  <c r="J188" i="8"/>
  <c r="J252" i="8"/>
  <c r="J339" i="8"/>
  <c r="J400" i="8"/>
  <c r="J109" i="8"/>
  <c r="J510" i="8"/>
  <c r="J568" i="8"/>
  <c r="J535" i="8"/>
  <c r="I535" i="8"/>
  <c r="J541" i="8"/>
  <c r="I541" i="8"/>
  <c r="J544" i="8"/>
  <c r="I544" i="8"/>
  <c r="J485" i="8"/>
  <c r="I485" i="8"/>
  <c r="J557" i="8"/>
  <c r="I557" i="8"/>
  <c r="J567" i="8"/>
  <c r="I567" i="8"/>
  <c r="J575" i="8"/>
  <c r="I575" i="8"/>
  <c r="J584" i="8"/>
  <c r="I584" i="8"/>
  <c r="J594" i="8"/>
  <c r="I594" i="8"/>
  <c r="J600" i="8"/>
  <c r="I600" i="8"/>
  <c r="J610" i="8"/>
  <c r="I610" i="8"/>
  <c r="I4" i="8"/>
  <c r="I12" i="8"/>
  <c r="I20" i="8"/>
  <c r="I30" i="8"/>
  <c r="I39" i="8"/>
  <c r="I44" i="8"/>
  <c r="I54" i="8"/>
  <c r="I60" i="8"/>
  <c r="I73" i="8"/>
  <c r="I84" i="8"/>
  <c r="I91" i="8"/>
  <c r="I96" i="8"/>
  <c r="I99" i="8"/>
  <c r="I114" i="8"/>
  <c r="I124" i="8"/>
  <c r="I131" i="8"/>
  <c r="I136" i="8"/>
  <c r="I158" i="8"/>
  <c r="I164" i="8"/>
  <c r="I178" i="8"/>
  <c r="I147" i="8"/>
  <c r="I182" i="8"/>
  <c r="I194" i="8"/>
  <c r="I199" i="8"/>
  <c r="I208" i="8"/>
  <c r="I214" i="8"/>
  <c r="I224" i="8"/>
  <c r="I239" i="8"/>
  <c r="I255" i="8"/>
  <c r="I233" i="8"/>
  <c r="I261" i="8"/>
  <c r="I266" i="8"/>
  <c r="I234" i="8"/>
  <c r="I293" i="8"/>
  <c r="I309" i="8"/>
  <c r="I325" i="8"/>
  <c r="I283" i="8"/>
  <c r="I308" i="8"/>
  <c r="I321" i="8"/>
  <c r="I247" i="8"/>
  <c r="I355" i="8"/>
  <c r="I360" i="8"/>
  <c r="I374" i="8"/>
  <c r="I351" i="8"/>
  <c r="I391" i="8"/>
  <c r="I373" i="8"/>
  <c r="I394" i="8"/>
  <c r="I409" i="8"/>
  <c r="I418" i="8"/>
  <c r="I319" i="8"/>
  <c r="I397" i="8"/>
  <c r="I431" i="8"/>
  <c r="I427" i="8"/>
  <c r="I68" i="8"/>
  <c r="I197" i="8"/>
  <c r="I437" i="8"/>
  <c r="I459" i="8"/>
  <c r="I467" i="8"/>
  <c r="I477" i="8"/>
  <c r="I482" i="8"/>
  <c r="I495" i="8"/>
  <c r="I494" i="8"/>
  <c r="I505" i="8"/>
  <c r="I509" i="8"/>
  <c r="I533" i="8"/>
  <c r="I554" i="8"/>
  <c r="I589" i="8"/>
  <c r="J15" i="8"/>
  <c r="J57" i="8"/>
  <c r="J128" i="8"/>
  <c r="J203" i="8"/>
  <c r="J270" i="8"/>
  <c r="J348" i="8"/>
  <c r="J401" i="8"/>
  <c r="J225" i="8"/>
  <c r="J517" i="8"/>
  <c r="I5" i="8"/>
  <c r="I13" i="8"/>
  <c r="I22" i="8"/>
  <c r="I31" i="8"/>
  <c r="I37" i="8"/>
  <c r="I52" i="8"/>
  <c r="I55" i="8"/>
  <c r="I62" i="8"/>
  <c r="I74" i="8"/>
  <c r="I85" i="8"/>
  <c r="I92" i="8"/>
  <c r="I97" i="8"/>
  <c r="I106" i="8"/>
  <c r="I115" i="8"/>
  <c r="I125" i="8"/>
  <c r="I132" i="8"/>
  <c r="I137" i="8"/>
  <c r="I159" i="8"/>
  <c r="I166" i="8"/>
  <c r="I144" i="8"/>
  <c r="I160" i="8"/>
  <c r="I183" i="8"/>
  <c r="I195" i="8"/>
  <c r="I201" i="8"/>
  <c r="I207" i="8"/>
  <c r="I213" i="8"/>
  <c r="I228" i="8"/>
  <c r="I245" i="8"/>
  <c r="I240" i="8"/>
  <c r="I244" i="8"/>
  <c r="I265" i="8"/>
  <c r="I267" i="8"/>
  <c r="I285" i="8"/>
  <c r="I294" i="8"/>
  <c r="I312" i="8"/>
  <c r="I326" i="8"/>
  <c r="I284" i="8"/>
  <c r="I328" i="8"/>
  <c r="I334" i="8"/>
  <c r="I262" i="8"/>
  <c r="I357" i="8"/>
  <c r="I361" i="8"/>
  <c r="I375" i="8"/>
  <c r="I368" i="8"/>
  <c r="I370" i="8"/>
  <c r="I395" i="8"/>
  <c r="I402" i="8"/>
  <c r="I412" i="8"/>
  <c r="I422" i="8"/>
  <c r="I318" i="8"/>
  <c r="I399" i="8"/>
  <c r="I432" i="8"/>
  <c r="I438" i="8"/>
  <c r="I67" i="8"/>
  <c r="I196" i="8"/>
  <c r="I450" i="8"/>
  <c r="I458" i="8"/>
  <c r="I466" i="8"/>
  <c r="I479" i="8"/>
  <c r="I487" i="8"/>
  <c r="I496" i="8"/>
  <c r="I503" i="8"/>
  <c r="I514" i="8"/>
  <c r="I523" i="8"/>
  <c r="J65" i="8"/>
  <c r="J141" i="8"/>
  <c r="J193" i="8"/>
  <c r="J264" i="8"/>
  <c r="J296" i="8"/>
  <c r="J414" i="8"/>
  <c r="J451" i="8"/>
  <c r="J515" i="8"/>
  <c r="I547" i="8"/>
  <c r="J547" i="8"/>
  <c r="I507" i="8"/>
  <c r="J507" i="8"/>
  <c r="I569" i="8"/>
  <c r="J569" i="8"/>
  <c r="I581" i="8"/>
  <c r="J581" i="8"/>
  <c r="I603" i="8"/>
  <c r="J603" i="8"/>
  <c r="I536" i="8"/>
  <c r="J536" i="8"/>
  <c r="I548" i="8"/>
  <c r="J548" i="8"/>
  <c r="I553" i="8"/>
  <c r="J553" i="8"/>
  <c r="I508" i="8"/>
  <c r="J508" i="8"/>
  <c r="I561" i="8"/>
  <c r="J561" i="8"/>
  <c r="I572" i="8"/>
  <c r="J572" i="8"/>
  <c r="I556" i="8"/>
  <c r="J556" i="8"/>
  <c r="I587" i="8"/>
  <c r="J587" i="8"/>
  <c r="I546" i="8"/>
  <c r="J546" i="8"/>
  <c r="I604" i="8"/>
  <c r="J604" i="8"/>
  <c r="I87" i="8"/>
  <c r="I153" i="8"/>
  <c r="I216" i="8"/>
  <c r="I299" i="8"/>
  <c r="I364" i="8"/>
  <c r="I340" i="8"/>
  <c r="I471" i="8"/>
  <c r="I543" i="8"/>
  <c r="I602" i="8"/>
  <c r="J26" i="10" l="1"/>
  <c r="S26" i="10" s="1"/>
  <c r="Z64" i="10"/>
  <c r="J32" i="10"/>
  <c r="I13" i="10"/>
  <c r="AF13" i="10" s="1"/>
  <c r="I33" i="10"/>
  <c r="V33" i="10" s="1"/>
  <c r="J50" i="10"/>
  <c r="S50" i="10" s="1"/>
  <c r="I45" i="10"/>
  <c r="V45" i="10" s="1"/>
  <c r="J23" i="10"/>
  <c r="X23" i="10" s="1"/>
  <c r="I55" i="10"/>
  <c r="Q55" i="10" s="1"/>
  <c r="I29" i="10"/>
  <c r="AA29" i="10" s="1"/>
  <c r="J29" i="10"/>
  <c r="AH29" i="10" s="1"/>
  <c r="J37" i="10"/>
  <c r="X37" i="10" s="1"/>
  <c r="I51" i="10"/>
  <c r="V51" i="10" s="1"/>
  <c r="I49" i="10"/>
  <c r="V49" i="10" s="1"/>
  <c r="I54" i="10"/>
  <c r="V54" i="10" s="1"/>
  <c r="I32" i="10"/>
  <c r="AF32" i="10" s="1"/>
  <c r="I14" i="10"/>
  <c r="Q14" i="10" s="1"/>
  <c r="I42" i="10"/>
  <c r="Q42" i="10" s="1"/>
  <c r="J25" i="10"/>
  <c r="X25" i="10" s="1"/>
  <c r="I31" i="10"/>
  <c r="AF31" i="10" s="1"/>
  <c r="I25" i="10"/>
  <c r="AF25" i="10" s="1"/>
  <c r="J13" i="10"/>
  <c r="S13" i="10" s="1"/>
  <c r="J51" i="10"/>
  <c r="I21" i="10"/>
  <c r="V21" i="10" s="1"/>
  <c r="J45" i="10"/>
  <c r="AC45" i="10" s="1"/>
  <c r="I53" i="10"/>
  <c r="AF53" i="10" s="1"/>
  <c r="J31" i="10"/>
  <c r="AC31" i="10" s="1"/>
  <c r="J35" i="10"/>
  <c r="AH35" i="10" s="1"/>
  <c r="J20" i="10"/>
  <c r="AH20" i="10" s="1"/>
  <c r="I19" i="10"/>
  <c r="AF19" i="10" s="1"/>
  <c r="J52" i="10"/>
  <c r="AC52" i="10" s="1"/>
  <c r="I44" i="10"/>
  <c r="V44" i="10" s="1"/>
  <c r="I46" i="10"/>
  <c r="AF46" i="10" s="1"/>
  <c r="J15" i="10"/>
  <c r="S15" i="10" s="1"/>
  <c r="I24" i="10"/>
  <c r="V24" i="10" s="1"/>
  <c r="I43" i="10"/>
  <c r="Q43" i="10" s="1"/>
  <c r="J27" i="10"/>
  <c r="AH27" i="10" s="1"/>
  <c r="J53" i="10"/>
  <c r="S53" i="10" s="1"/>
  <c r="I12" i="10"/>
  <c r="Q12" i="10" s="1"/>
  <c r="J39" i="10"/>
  <c r="X39" i="10" s="1"/>
  <c r="J28" i="10"/>
  <c r="X28" i="10" s="1"/>
  <c r="J41" i="10"/>
  <c r="S41" i="10" s="1"/>
  <c r="J12" i="10"/>
  <c r="S12" i="10" s="1"/>
  <c r="I30" i="10"/>
  <c r="V30" i="10" s="1"/>
  <c r="J24" i="10"/>
  <c r="AC24" i="10" s="1"/>
  <c r="J40" i="10"/>
  <c r="X40" i="10" s="1"/>
  <c r="J18" i="10"/>
  <c r="AC18" i="10" s="1"/>
  <c r="I27" i="10"/>
  <c r="Q27" i="10" s="1"/>
  <c r="I15" i="10"/>
  <c r="V15" i="10" s="1"/>
  <c r="I47" i="10"/>
  <c r="Q47" i="10" s="1"/>
  <c r="I17" i="10"/>
  <c r="AF17" i="10" s="1"/>
  <c r="I41" i="10"/>
  <c r="AF41" i="10" s="1"/>
  <c r="J30" i="10"/>
  <c r="S30" i="10" s="1"/>
  <c r="I18" i="10"/>
  <c r="AF18" i="10" s="1"/>
  <c r="I35" i="10"/>
  <c r="V35" i="10" s="1"/>
  <c r="J16" i="10"/>
  <c r="J21" i="10"/>
  <c r="AC21" i="10" s="1"/>
  <c r="J22" i="10"/>
  <c r="AH22" i="10" s="1"/>
  <c r="J55" i="10"/>
  <c r="I34" i="10"/>
  <c r="Q34" i="10" s="1"/>
  <c r="J44" i="10"/>
  <c r="S44" i="10" s="1"/>
  <c r="I23" i="10"/>
  <c r="Q23" i="10" s="1"/>
  <c r="J14" i="10"/>
  <c r="AC14" i="10" s="1"/>
  <c r="I36" i="10"/>
  <c r="Q36" i="10" s="1"/>
  <c r="I40" i="10"/>
  <c r="AF40" i="10" s="1"/>
  <c r="I48" i="10"/>
  <c r="V48" i="10" s="1"/>
  <c r="J33" i="10"/>
  <c r="I20" i="10"/>
  <c r="Q20" i="10" s="1"/>
  <c r="J43" i="10"/>
  <c r="AC43" i="10" s="1"/>
  <c r="I22" i="10"/>
  <c r="Q22" i="10" s="1"/>
  <c r="J38" i="10"/>
  <c r="X38" i="10" s="1"/>
  <c r="J46" i="10"/>
  <c r="X46" i="10" s="1"/>
  <c r="J54" i="10"/>
  <c r="S54" i="10" s="1"/>
  <c r="J34" i="10"/>
  <c r="AH34" i="10" s="1"/>
  <c r="J19" i="10"/>
  <c r="J48" i="10"/>
  <c r="X48" i="10" s="1"/>
  <c r="I50" i="10"/>
  <c r="AF50" i="10" s="1"/>
  <c r="J17" i="10"/>
  <c r="AH17" i="10" s="1"/>
  <c r="I39" i="10"/>
  <c r="AF39" i="10" s="1"/>
  <c r="I52" i="10"/>
  <c r="V52" i="10" s="1"/>
  <c r="I38" i="10"/>
  <c r="AF38" i="10" s="1"/>
  <c r="J42" i="10"/>
  <c r="AH42" i="10" s="1"/>
  <c r="I37" i="10"/>
  <c r="I16" i="10"/>
  <c r="AF16" i="10" s="1"/>
  <c r="J47" i="10"/>
  <c r="AH47" i="10" s="1"/>
  <c r="I26" i="10"/>
  <c r="Q26" i="10" s="1"/>
  <c r="J36" i="10"/>
  <c r="X36" i="10" s="1"/>
  <c r="J49" i="10"/>
  <c r="X49" i="10" s="1"/>
  <c r="I28" i="10"/>
  <c r="AA28" i="10" s="1"/>
  <c r="L96" i="10" a="1"/>
  <c r="L96" i="10" s="1"/>
  <c r="L107" i="10" a="1"/>
  <c r="L107" i="10" s="1"/>
  <c r="AE74" i="10"/>
  <c r="R83" i="10"/>
  <c r="J83" i="10" s="1"/>
  <c r="AB67" i="10"/>
  <c r="U74" i="10"/>
  <c r="K107" i="10" a="1"/>
  <c r="K107" i="10" s="1"/>
  <c r="P75" i="10"/>
  <c r="T76" i="10"/>
  <c r="AB64" i="10"/>
  <c r="P72" i="10"/>
  <c r="T66" i="10"/>
  <c r="K109" i="10" a="1"/>
  <c r="K109" i="10" s="1"/>
  <c r="AD79" i="10"/>
  <c r="K93" i="10" a="1"/>
  <c r="K93" i="10" s="1"/>
  <c r="L84" i="10" a="1"/>
  <c r="L84" i="10" s="1"/>
  <c r="K83" i="10" a="1"/>
  <c r="K83" i="10" s="1"/>
  <c r="Z84" i="10"/>
  <c r="O70" i="10"/>
  <c r="L98" i="10" a="1"/>
  <c r="L98" i="10" s="1"/>
  <c r="T64" i="10"/>
  <c r="AG79" i="10"/>
  <c r="O68" i="10"/>
  <c r="AB71" i="10"/>
  <c r="W75" i="10"/>
  <c r="AB69" i="10"/>
  <c r="O77" i="10"/>
  <c r="Y65" i="10"/>
  <c r="O72" i="10"/>
  <c r="T84" i="10"/>
  <c r="K99" i="10" a="1"/>
  <c r="K99" i="10" s="1"/>
  <c r="P74" i="10"/>
  <c r="K95" i="10" a="1"/>
  <c r="K95" i="10" s="1"/>
  <c r="R84" i="10"/>
  <c r="O64" i="10"/>
  <c r="W74" i="10"/>
  <c r="L74" i="10" a="1"/>
  <c r="L74" i="10" s="1"/>
  <c r="K71" i="10" a="1"/>
  <c r="K71" i="10" s="1"/>
  <c r="U79" i="10"/>
  <c r="L106" i="10" a="1"/>
  <c r="L106" i="10" s="1"/>
  <c r="T74" i="10"/>
  <c r="K101" i="10" a="1"/>
  <c r="K101" i="10" s="1"/>
  <c r="T65" i="10"/>
  <c r="AG84" i="10"/>
  <c r="R78" i="10"/>
  <c r="O73" i="10"/>
  <c r="AD74" i="10"/>
  <c r="L102" i="10" a="1"/>
  <c r="L102" i="10" s="1"/>
  <c r="Z71" i="10"/>
  <c r="L67" i="10" a="1"/>
  <c r="L67" i="10" s="1"/>
  <c r="AB84" i="10"/>
  <c r="O74" i="10"/>
  <c r="AG67" i="10"/>
  <c r="O65" i="10"/>
  <c r="W79" i="10"/>
  <c r="K84" i="10" a="1"/>
  <c r="K84" i="10" s="1"/>
  <c r="AE67" i="10"/>
  <c r="L71" i="10" a="1"/>
  <c r="L71" i="10" s="1"/>
  <c r="AD67" i="10"/>
  <c r="L104" i="10" a="1"/>
  <c r="L104" i="10" s="1"/>
  <c r="T79" i="10"/>
  <c r="K100" i="10" a="1"/>
  <c r="K100" i="10" s="1"/>
  <c r="T80" i="10"/>
  <c r="L64" i="10" a="1"/>
  <c r="L64" i="10" s="1"/>
  <c r="P78" i="10"/>
  <c r="Z65" i="10"/>
  <c r="P83" i="10"/>
  <c r="I83" i="10" s="1"/>
  <c r="L94" i="10" a="1"/>
  <c r="L94" i="10" s="1"/>
  <c r="AE84" i="10"/>
  <c r="H79" i="10"/>
  <c r="B7" i="13" s="1"/>
  <c r="K105" i="10" a="1"/>
  <c r="K105" i="10" s="1"/>
  <c r="T69" i="10"/>
  <c r="K104" i="10" a="1"/>
  <c r="K104" i="10" s="1"/>
  <c r="O79" i="10"/>
  <c r="AG71" i="10"/>
  <c r="L79" i="10" a="1"/>
  <c r="L79" i="10" s="1"/>
  <c r="O71" i="10"/>
  <c r="L109" i="10" a="1"/>
  <c r="L109" i="10" s="1"/>
  <c r="AD71" i="10"/>
  <c r="L103" i="10" a="1"/>
  <c r="L103" i="10" s="1"/>
  <c r="R75" i="10"/>
  <c r="R81" i="10"/>
  <c r="Y68" i="10"/>
  <c r="AB65" i="10"/>
  <c r="Z67" i="10"/>
  <c r="H74" i="10"/>
  <c r="B6" i="13" s="1"/>
  <c r="R79" i="10"/>
  <c r="T68" i="10"/>
  <c r="L93" i="10" a="1"/>
  <c r="L93" i="10" s="1"/>
  <c r="Y74" i="10"/>
  <c r="K97" i="10" a="1"/>
  <c r="K97" i="10" s="1"/>
  <c r="T70" i="10"/>
  <c r="K103" i="10" a="1"/>
  <c r="K103" i="10" s="1"/>
  <c r="O66" i="10"/>
  <c r="W84" i="10"/>
  <c r="Y71" i="10"/>
  <c r="U84" i="10"/>
  <c r="K67" i="10" a="1"/>
  <c r="K67" i="10" s="1"/>
  <c r="K94" i="10" a="1"/>
  <c r="K94" i="10" s="1"/>
  <c r="AD76" i="10"/>
  <c r="AG99" i="10"/>
  <c r="AG93" i="10"/>
  <c r="AB100" i="10"/>
  <c r="W109" i="10"/>
  <c r="W94" i="10"/>
  <c r="R106" i="10"/>
  <c r="AE103" i="10"/>
  <c r="AE93" i="10"/>
  <c r="Z100" i="10"/>
  <c r="U108" i="10"/>
  <c r="C76" i="13" s="1"/>
  <c r="P96" i="10"/>
  <c r="AD104" i="10"/>
  <c r="AD96" i="10"/>
  <c r="Y105" i="10"/>
  <c r="Y97" i="10"/>
  <c r="T106" i="10"/>
  <c r="T98" i="10"/>
  <c r="O107" i="10"/>
  <c r="O99" i="10"/>
  <c r="H95" i="10"/>
  <c r="H100" i="10"/>
  <c r="L108" i="10" a="1"/>
  <c r="L108" i="10" s="1"/>
  <c r="K108" i="10" a="1"/>
  <c r="K108" i="10" s="1"/>
  <c r="AG108" i="10"/>
  <c r="S78" i="13" s="1"/>
  <c r="AG100" i="10"/>
  <c r="AB109" i="10"/>
  <c r="AB99" i="10"/>
  <c r="W108" i="10"/>
  <c r="S76" i="13" s="1"/>
  <c r="R95" i="10"/>
  <c r="AE109" i="10"/>
  <c r="AE104" i="10"/>
  <c r="Z109" i="10"/>
  <c r="Z99" i="10"/>
  <c r="U107" i="10"/>
  <c r="P108" i="10"/>
  <c r="AD103" i="10"/>
  <c r="AD95" i="10"/>
  <c r="Y104" i="10"/>
  <c r="Y96" i="10"/>
  <c r="T105" i="10"/>
  <c r="T97" i="10"/>
  <c r="O104" i="10"/>
  <c r="O98" i="10"/>
  <c r="H94" i="10"/>
  <c r="H101" i="10"/>
  <c r="AG107" i="10"/>
  <c r="AG102" i="10"/>
  <c r="J102" i="10" s="1"/>
  <c r="AB108" i="10"/>
  <c r="S77" i="13" s="1"/>
  <c r="AB98" i="10"/>
  <c r="W107" i="10"/>
  <c r="R94" i="10"/>
  <c r="AE108" i="10"/>
  <c r="C78" i="13" s="1"/>
  <c r="AE105" i="10"/>
  <c r="Z108" i="10"/>
  <c r="C77" i="13" s="1"/>
  <c r="Z97" i="10"/>
  <c r="U106" i="10"/>
  <c r="P107" i="10"/>
  <c r="AD102" i="10"/>
  <c r="AD94" i="10"/>
  <c r="Y103" i="10"/>
  <c r="Y95" i="10"/>
  <c r="T104" i="10"/>
  <c r="T96" i="10"/>
  <c r="O106" i="10"/>
  <c r="O97" i="10"/>
  <c r="H93" i="10"/>
  <c r="H102" i="10"/>
  <c r="K96" i="10" a="1"/>
  <c r="K96" i="10" s="1"/>
  <c r="AG96" i="10"/>
  <c r="R78" i="13" s="1"/>
  <c r="AG103" i="10"/>
  <c r="AB107" i="10"/>
  <c r="AB97" i="10"/>
  <c r="W106" i="10"/>
  <c r="R109" i="10"/>
  <c r="AE107" i="10"/>
  <c r="AE106" i="10"/>
  <c r="Z107" i="10"/>
  <c r="Z96" i="10"/>
  <c r="B77" i="13" s="1"/>
  <c r="U101" i="10"/>
  <c r="I101" i="10" s="1"/>
  <c r="P95" i="10"/>
  <c r="AD109" i="10"/>
  <c r="AD101" i="10"/>
  <c r="AD93" i="10"/>
  <c r="Y102" i="10"/>
  <c r="Y94" i="10"/>
  <c r="T103" i="10"/>
  <c r="T95" i="10"/>
  <c r="O105" i="10"/>
  <c r="O96" i="10"/>
  <c r="H109" i="10"/>
  <c r="J7" i="13" s="1"/>
  <c r="H103" i="10"/>
  <c r="AG95" i="10"/>
  <c r="AG104" i="10"/>
  <c r="AB106" i="10"/>
  <c r="AB96" i="10"/>
  <c r="R77" i="13" s="1"/>
  <c r="W101" i="10"/>
  <c r="J101" i="10" s="1"/>
  <c r="R108" i="10"/>
  <c r="AE98" i="10"/>
  <c r="I98" i="10" s="1"/>
  <c r="AE97" i="10"/>
  <c r="Z106" i="10"/>
  <c r="Z95" i="10"/>
  <c r="U99" i="10"/>
  <c r="P94" i="10"/>
  <c r="AD108" i="10"/>
  <c r="AD100" i="10"/>
  <c r="Y109" i="10"/>
  <c r="Y101" i="10"/>
  <c r="Y93" i="10"/>
  <c r="T102" i="10"/>
  <c r="T94" i="10"/>
  <c r="O103" i="10"/>
  <c r="O95" i="10"/>
  <c r="H108" i="10"/>
  <c r="J6" i="13" s="1"/>
  <c r="H104" i="10"/>
  <c r="AG94" i="10"/>
  <c r="AG105" i="10"/>
  <c r="AB105" i="10"/>
  <c r="AB95" i="10"/>
  <c r="W99" i="10"/>
  <c r="R107" i="10"/>
  <c r="AE99" i="10"/>
  <c r="AE96" i="10"/>
  <c r="B78" i="13" s="1"/>
  <c r="Z105" i="10"/>
  <c r="Z94" i="10"/>
  <c r="U96" i="10"/>
  <c r="B76" i="13" s="1"/>
  <c r="P99" i="10"/>
  <c r="AD107" i="10"/>
  <c r="AD99" i="10"/>
  <c r="Y108" i="10"/>
  <c r="Y100" i="10"/>
  <c r="T109" i="10"/>
  <c r="T101" i="10"/>
  <c r="T93" i="10"/>
  <c r="O102" i="10"/>
  <c r="O94" i="10"/>
  <c r="H107" i="10"/>
  <c r="H105" i="10"/>
  <c r="AG97" i="10"/>
  <c r="AG106" i="10"/>
  <c r="AB104" i="10"/>
  <c r="AB94" i="10"/>
  <c r="W96" i="10"/>
  <c r="R76" i="13" s="1"/>
  <c r="R96" i="10"/>
  <c r="AE100" i="10"/>
  <c r="AE95" i="10"/>
  <c r="Z104" i="10"/>
  <c r="Z93" i="10"/>
  <c r="U95" i="10"/>
  <c r="P106" i="10"/>
  <c r="AD106" i="10"/>
  <c r="AD98" i="10"/>
  <c r="Y107" i="10"/>
  <c r="Y99" i="10"/>
  <c r="T108" i="10"/>
  <c r="T100" i="10"/>
  <c r="O109" i="10"/>
  <c r="O101" i="10"/>
  <c r="O93" i="10"/>
  <c r="H98" i="10"/>
  <c r="H106" i="10"/>
  <c r="AG98" i="10"/>
  <c r="AG109" i="10"/>
  <c r="AB103" i="10"/>
  <c r="AB93" i="10"/>
  <c r="W95" i="10"/>
  <c r="R99" i="10"/>
  <c r="AE102" i="10"/>
  <c r="I102" i="10" s="1"/>
  <c r="AE94" i="10"/>
  <c r="Z103" i="10"/>
  <c r="U109" i="10"/>
  <c r="U94" i="10"/>
  <c r="P109" i="10"/>
  <c r="AD105" i="10"/>
  <c r="AD97" i="10"/>
  <c r="Y106" i="10"/>
  <c r="Y98" i="10"/>
  <c r="T107" i="10"/>
  <c r="T99" i="10"/>
  <c r="O108" i="10"/>
  <c r="O100" i="10"/>
  <c r="H97" i="10"/>
  <c r="H99" i="10"/>
  <c r="J5" i="13" s="1"/>
  <c r="H96" i="10"/>
  <c r="J4" i="13" s="1"/>
  <c r="Y70" i="10"/>
  <c r="AB66" i="10"/>
  <c r="AE79" i="10"/>
  <c r="S83" i="10"/>
  <c r="AB79" i="10"/>
  <c r="AD84" i="10"/>
  <c r="L101" i="10" a="1"/>
  <c r="L101" i="10" s="1"/>
  <c r="L97" i="10" a="1"/>
  <c r="L97" i="10" s="1"/>
  <c r="Y79" i="10"/>
  <c r="L105" i="10" a="1"/>
  <c r="L105" i="10" s="1"/>
  <c r="O84" i="10"/>
  <c r="AG74" i="10"/>
  <c r="K74" i="10" a="1"/>
  <c r="K74" i="10" s="1"/>
  <c r="AE71" i="10"/>
  <c r="H84" i="10"/>
  <c r="B8" i="13" s="1"/>
  <c r="U64" i="10"/>
  <c r="O81" i="10"/>
  <c r="Z80" i="10"/>
  <c r="L65" i="10" a="1"/>
  <c r="L65" i="10" s="1"/>
  <c r="Y66" i="10"/>
  <c r="Y64" i="10"/>
  <c r="R74" i="10"/>
  <c r="T67" i="10"/>
  <c r="K106" i="10" a="1"/>
  <c r="K106" i="10" s="1"/>
  <c r="P79" i="10"/>
  <c r="L95" i="10" a="1"/>
  <c r="L95" i="10" s="1"/>
  <c r="P84" i="10"/>
  <c r="L100" i="10" a="1"/>
  <c r="L100" i="10" s="1"/>
  <c r="L99" i="10" a="1"/>
  <c r="L99" i="10" s="1"/>
  <c r="T71" i="10"/>
  <c r="K102" i="10" a="1"/>
  <c r="K102" i="10" s="1"/>
  <c r="H67" i="10"/>
  <c r="B4" i="13" s="1"/>
  <c r="K79" i="10" a="1"/>
  <c r="K79" i="10" s="1"/>
  <c r="AD77" i="10"/>
  <c r="U78" i="10"/>
  <c r="Z66" i="10"/>
  <c r="R72" i="10"/>
  <c r="AB74" i="10"/>
  <c r="Y67" i="10"/>
  <c r="K98" i="10" a="1"/>
  <c r="K98" i="10" s="1"/>
  <c r="Z74" i="10"/>
  <c r="L83" i="10" a="1"/>
  <c r="L83" i="10" s="1"/>
  <c r="Z79" i="10"/>
  <c r="O69" i="10"/>
  <c r="Y84" i="10"/>
  <c r="O67" i="10"/>
  <c r="H71" i="10"/>
  <c r="B5" i="13" s="1"/>
  <c r="H76" i="10"/>
  <c r="AE78" i="10"/>
  <c r="W82" i="10"/>
  <c r="Z72" i="10"/>
  <c r="Z81" i="10"/>
  <c r="K68" i="10" a="1"/>
  <c r="K68" i="10" s="1"/>
  <c r="T73" i="10"/>
  <c r="K78" i="10" a="1"/>
  <c r="K78" i="10" s="1"/>
  <c r="K77" i="10" a="1"/>
  <c r="K77" i="10" s="1"/>
  <c r="K76" i="10" a="1"/>
  <c r="K76" i="10" s="1"/>
  <c r="K75" i="10" a="1"/>
  <c r="K75" i="10" s="1"/>
  <c r="AG65" i="10"/>
  <c r="AD65" i="10"/>
  <c r="H66" i="10"/>
  <c r="AG64" i="10"/>
  <c r="AD66" i="10"/>
  <c r="H64" i="10"/>
  <c r="AE64" i="10"/>
  <c r="AG66" i="10"/>
  <c r="H65" i="10"/>
  <c r="AE66" i="10"/>
  <c r="AE65" i="10"/>
  <c r="AD64" i="10"/>
  <c r="L66" i="10" a="1"/>
  <c r="L66" i="10" s="1"/>
  <c r="H75" i="10"/>
  <c r="AG77" i="10"/>
  <c r="AD78" i="10"/>
  <c r="AD75" i="10"/>
  <c r="T81" i="10"/>
  <c r="O76" i="10"/>
  <c r="Y69" i="10"/>
  <c r="W72" i="10"/>
  <c r="U72" i="10"/>
  <c r="AB77" i="10"/>
  <c r="J77" i="10" s="1"/>
  <c r="Y77" i="10"/>
  <c r="AB76" i="10"/>
  <c r="AB75" i="10"/>
  <c r="Y78" i="10"/>
  <c r="Z76" i="10"/>
  <c r="AB78" i="10"/>
  <c r="Z75" i="10"/>
  <c r="Z78" i="10"/>
  <c r="Z77" i="10"/>
  <c r="Y76" i="10"/>
  <c r="Y75" i="10"/>
  <c r="P81" i="10"/>
  <c r="W80" i="10"/>
  <c r="Y72" i="10"/>
  <c r="Y81" i="10"/>
  <c r="Y80" i="10"/>
  <c r="W73" i="10"/>
  <c r="J73" i="10" s="1"/>
  <c r="U73" i="10"/>
  <c r="I73" i="10" s="1"/>
  <c r="Z82" i="10"/>
  <c r="L77" i="10" a="1"/>
  <c r="L77" i="10" s="1"/>
  <c r="AE76" i="10"/>
  <c r="H77" i="10"/>
  <c r="U81" i="10"/>
  <c r="Y82" i="10"/>
  <c r="K82" i="10" a="1"/>
  <c r="K82" i="10" s="1"/>
  <c r="K81" i="10" a="1"/>
  <c r="K81" i="10" s="1"/>
  <c r="K80" i="10" a="1"/>
  <c r="K80" i="10" s="1"/>
  <c r="L70" i="10" a="1"/>
  <c r="L70" i="10" s="1"/>
  <c r="L69" i="10" a="1"/>
  <c r="L69" i="10" s="1"/>
  <c r="L68" i="10" a="1"/>
  <c r="L68" i="10" s="1"/>
  <c r="O82" i="10"/>
  <c r="R80" i="10"/>
  <c r="T75" i="10"/>
  <c r="H78" i="10"/>
  <c r="AG76" i="10"/>
  <c r="L78" i="10" a="1"/>
  <c r="L78" i="10" s="1"/>
  <c r="T82" i="10"/>
  <c r="O75" i="10"/>
  <c r="Y73" i="10"/>
  <c r="AB82" i="10"/>
  <c r="Z68" i="10"/>
  <c r="AG82" i="10"/>
  <c r="AG81" i="10"/>
  <c r="H80" i="10"/>
  <c r="AG80" i="10"/>
  <c r="AE81" i="10"/>
  <c r="AE80" i="10"/>
  <c r="H81" i="10"/>
  <c r="H82" i="10"/>
  <c r="AD82" i="10"/>
  <c r="AE82" i="10"/>
  <c r="AD81" i="10"/>
  <c r="AD80" i="10"/>
  <c r="AE70" i="10"/>
  <c r="I70" i="10" s="1"/>
  <c r="AD69" i="10"/>
  <c r="AE69" i="10"/>
  <c r="I69" i="10" s="1"/>
  <c r="AD68" i="10"/>
  <c r="AG70" i="10"/>
  <c r="J70" i="10" s="1"/>
  <c r="AE68" i="10"/>
  <c r="AD70" i="10"/>
  <c r="H68" i="10"/>
  <c r="AG68" i="10"/>
  <c r="H70" i="10"/>
  <c r="AG69" i="10"/>
  <c r="H69" i="10"/>
  <c r="P82" i="10"/>
  <c r="AG75" i="10"/>
  <c r="AE77" i="10"/>
  <c r="T78" i="10"/>
  <c r="AB72" i="10"/>
  <c r="K70" i="10" a="1"/>
  <c r="K70" i="10" s="1"/>
  <c r="T72" i="10"/>
  <c r="L81" i="10" a="1"/>
  <c r="L81" i="10" s="1"/>
  <c r="L82" i="10" a="1"/>
  <c r="L82" i="10" s="1"/>
  <c r="L80" i="10" a="1"/>
  <c r="L80" i="10" s="1"/>
  <c r="R82" i="10"/>
  <c r="O80" i="10"/>
  <c r="T77" i="10"/>
  <c r="W78" i="10"/>
  <c r="AG78" i="10"/>
  <c r="U80" i="10"/>
  <c r="U82" i="10"/>
  <c r="AB80" i="10"/>
  <c r="AB68" i="10"/>
  <c r="K69" i="10" a="1"/>
  <c r="K69" i="10" s="1"/>
  <c r="AE75" i="10"/>
  <c r="W81" i="10"/>
  <c r="L73" i="10" a="1"/>
  <c r="L73" i="10" s="1"/>
  <c r="AG72" i="10"/>
  <c r="AE72" i="10"/>
  <c r="K72" i="10" a="1"/>
  <c r="K72" i="10" s="1"/>
  <c r="H72" i="10"/>
  <c r="L72" i="10" a="1"/>
  <c r="L72" i="10" s="1"/>
  <c r="H73" i="10"/>
  <c r="AD72" i="10"/>
  <c r="K73" i="10" a="1"/>
  <c r="K73" i="10" s="1"/>
  <c r="AD73" i="10"/>
  <c r="K66" i="10" a="1"/>
  <c r="K66" i="10" s="1"/>
  <c r="K65" i="10" a="1"/>
  <c r="K65" i="10" s="1"/>
  <c r="K64" i="10" a="1"/>
  <c r="K64" i="10" s="1"/>
  <c r="P80" i="10"/>
  <c r="U75" i="10"/>
  <c r="L76" i="10" a="1"/>
  <c r="L76" i="10" s="1"/>
  <c r="L75" i="10" a="1"/>
  <c r="L75" i="10" s="1"/>
  <c r="O78" i="10"/>
  <c r="AB81" i="10"/>
  <c r="AG57" i="10"/>
  <c r="U57" i="10"/>
  <c r="Z57" i="10"/>
  <c r="AE57" i="10"/>
  <c r="P57" i="10"/>
  <c r="W57" i="10"/>
  <c r="R57" i="10"/>
  <c r="AB57" i="10"/>
  <c r="AA17" i="10"/>
  <c r="V17" i="10"/>
  <c r="Q17" i="10"/>
  <c r="Q41" i="10"/>
  <c r="S37" i="10"/>
  <c r="AC37" i="10"/>
  <c r="AH37" i="10"/>
  <c r="AF29" i="10"/>
  <c r="X32" i="10"/>
  <c r="AH32" i="10"/>
  <c r="AC32" i="10"/>
  <c r="S32" i="10"/>
  <c r="X55" i="10"/>
  <c r="AC55" i="10"/>
  <c r="S55" i="10"/>
  <c r="AH55" i="10"/>
  <c r="Q31" i="10"/>
  <c r="AA13" i="10"/>
  <c r="V13" i="10"/>
  <c r="AH33" i="10"/>
  <c r="AC33" i="10"/>
  <c r="S33" i="10"/>
  <c r="X33" i="10"/>
  <c r="X15" i="10"/>
  <c r="AC15" i="10"/>
  <c r="AF43" i="10"/>
  <c r="AA43" i="10"/>
  <c r="V43" i="10"/>
  <c r="AA16" i="10"/>
  <c r="AH19" i="10"/>
  <c r="S19" i="10"/>
  <c r="AC19" i="10"/>
  <c r="X19" i="10"/>
  <c r="X12" i="10"/>
  <c r="AH12" i="10"/>
  <c r="AC12" i="10"/>
  <c r="AF37" i="10"/>
  <c r="Q37" i="10"/>
  <c r="V37" i="10"/>
  <c r="AA37" i="10"/>
  <c r="H57" i="10"/>
  <c r="AC20" i="10" l="1"/>
  <c r="AA33" i="10"/>
  <c r="Q51" i="10"/>
  <c r="AF33" i="10"/>
  <c r="Q25" i="10"/>
  <c r="AA25" i="10"/>
  <c r="AH26" i="10"/>
  <c r="AC26" i="10"/>
  <c r="X20" i="10"/>
  <c r="AF51" i="10"/>
  <c r="X14" i="10"/>
  <c r="Q50" i="10"/>
  <c r="AA51" i="10"/>
  <c r="S20" i="10"/>
  <c r="X24" i="10"/>
  <c r="X35" i="10"/>
  <c r="V31" i="10"/>
  <c r="AC48" i="10"/>
  <c r="AA50" i="10"/>
  <c r="S35" i="10"/>
  <c r="AA31" i="10"/>
  <c r="AF30" i="10"/>
  <c r="X43" i="10"/>
  <c r="X47" i="10"/>
  <c r="AH24" i="10"/>
  <c r="AH13" i="10"/>
  <c r="Q45" i="10"/>
  <c r="AC47" i="10"/>
  <c r="Q33" i="10"/>
  <c r="AC50" i="10"/>
  <c r="AA35" i="10"/>
  <c r="V25" i="10"/>
  <c r="AA49" i="10"/>
  <c r="AC17" i="10"/>
  <c r="V42" i="10"/>
  <c r="AC44" i="10"/>
  <c r="AH15" i="10"/>
  <c r="X30" i="10"/>
  <c r="X44" i="10"/>
  <c r="Q29" i="10"/>
  <c r="X50" i="10"/>
  <c r="AF54" i="10"/>
  <c r="AA54" i="10"/>
  <c r="Q39" i="10"/>
  <c r="AF35" i="10"/>
  <c r="AH50" i="10"/>
  <c r="J103" i="10"/>
  <c r="AC103" i="10" s="1"/>
  <c r="Q30" i="10"/>
  <c r="Q13" i="10"/>
  <c r="AC35" i="10"/>
  <c r="V34" i="10"/>
  <c r="AF34" i="10"/>
  <c r="AA21" i="10"/>
  <c r="AC38" i="10"/>
  <c r="S36" i="10"/>
  <c r="S14" i="10"/>
  <c r="AH38" i="10"/>
  <c r="X18" i="10"/>
  <c r="AC36" i="10"/>
  <c r="AH14" i="10"/>
  <c r="S38" i="10"/>
  <c r="S18" i="10"/>
  <c r="Q49" i="10"/>
  <c r="AF49" i="10"/>
  <c r="I105" i="10"/>
  <c r="AF45" i="10"/>
  <c r="Q54" i="10"/>
  <c r="AC39" i="10"/>
  <c r="J93" i="10"/>
  <c r="AH93" i="10" s="1"/>
  <c r="J104" i="10"/>
  <c r="AH104" i="10" s="1"/>
  <c r="X26" i="10"/>
  <c r="Q44" i="10"/>
  <c r="AF21" i="10"/>
  <c r="AA32" i="10"/>
  <c r="S23" i="10"/>
  <c r="X13" i="10"/>
  <c r="J68" i="10"/>
  <c r="AC68" i="10" s="1"/>
  <c r="I109" i="10"/>
  <c r="Q109" i="10" s="1"/>
  <c r="V32" i="10"/>
  <c r="AF44" i="10"/>
  <c r="Q21" i="10"/>
  <c r="Q32" i="10"/>
  <c r="V36" i="10"/>
  <c r="S39" i="10"/>
  <c r="AF15" i="10"/>
  <c r="AA15" i="10"/>
  <c r="AC23" i="10"/>
  <c r="AA45" i="10"/>
  <c r="X21" i="10"/>
  <c r="V39" i="10"/>
  <c r="I103" i="10"/>
  <c r="AA103" i="10" s="1"/>
  <c r="Q35" i="10"/>
  <c r="AH23" i="10"/>
  <c r="AA44" i="10"/>
  <c r="AH39" i="10"/>
  <c r="AH18" i="10"/>
  <c r="AH36" i="10"/>
  <c r="AH21" i="10"/>
  <c r="AA39" i="10"/>
  <c r="V40" i="10"/>
  <c r="Q40" i="10"/>
  <c r="I107" i="10"/>
  <c r="Q107" i="10" s="1"/>
  <c r="I67" i="10"/>
  <c r="AA67" i="10" s="1"/>
  <c r="AA40" i="10"/>
  <c r="I66" i="10"/>
  <c r="AA66" i="10" s="1"/>
  <c r="J100" i="10"/>
  <c r="AH100" i="10" s="1"/>
  <c r="J79" i="10"/>
  <c r="AH79" i="10" s="1"/>
  <c r="J76" i="10"/>
  <c r="AH76" i="10" s="1"/>
  <c r="I104" i="10"/>
  <c r="AA104" i="10" s="1"/>
  <c r="J98" i="10"/>
  <c r="AH98" i="10" s="1"/>
  <c r="Q15" i="10"/>
  <c r="J80" i="10"/>
  <c r="AC80" i="10" s="1"/>
  <c r="AG83" i="10" s="1"/>
  <c r="AH83" i="10" s="1"/>
  <c r="I95" i="10"/>
  <c r="AA95" i="10" s="1"/>
  <c r="J97" i="10"/>
  <c r="AC97" i="10" s="1"/>
  <c r="I77" i="10"/>
  <c r="AF77" i="10" s="1"/>
  <c r="J99" i="10"/>
  <c r="AH99" i="10" s="1"/>
  <c r="I99" i="10"/>
  <c r="Q99" i="10" s="1"/>
  <c r="AA38" i="10"/>
  <c r="V38" i="10"/>
  <c r="I80" i="10"/>
  <c r="Q80" i="10" s="1"/>
  <c r="J72" i="10"/>
  <c r="AH72" i="10" s="1"/>
  <c r="I106" i="10"/>
  <c r="V106" i="10" s="1"/>
  <c r="J105" i="10"/>
  <c r="AC105" i="10" s="1"/>
  <c r="I97" i="10"/>
  <c r="AA97" i="10" s="1"/>
  <c r="I100" i="10"/>
  <c r="AA100" i="10" s="1"/>
  <c r="J78" i="10"/>
  <c r="S78" i="10" s="1"/>
  <c r="J67" i="10"/>
  <c r="AH67" i="10" s="1"/>
  <c r="J82" i="10"/>
  <c r="AC82" i="10" s="1"/>
  <c r="I84" i="10"/>
  <c r="Q84" i="10" s="1"/>
  <c r="I93" i="10"/>
  <c r="AF93" i="10" s="1"/>
  <c r="J65" i="10"/>
  <c r="AC65" i="10" s="1"/>
  <c r="J74" i="10"/>
  <c r="AC74" i="10" s="1"/>
  <c r="I76" i="10"/>
  <c r="AF76" i="10" s="1"/>
  <c r="J66" i="10"/>
  <c r="AC66" i="10" s="1"/>
  <c r="I72" i="10"/>
  <c r="Q72" i="10" s="1"/>
  <c r="B75" i="13"/>
  <c r="I96" i="10"/>
  <c r="AF96" i="10" s="1"/>
  <c r="AA52" i="10"/>
  <c r="X45" i="10"/>
  <c r="AC28" i="10"/>
  <c r="I82" i="10"/>
  <c r="Q82" i="10" s="1"/>
  <c r="I81" i="10"/>
  <c r="AF81" i="10" s="1"/>
  <c r="I79" i="10"/>
  <c r="V79" i="10" s="1"/>
  <c r="J95" i="10"/>
  <c r="X95" i="10" s="1"/>
  <c r="J106" i="10"/>
  <c r="AC106" i="10" s="1"/>
  <c r="J81" i="10"/>
  <c r="S81" i="10" s="1"/>
  <c r="I65" i="10"/>
  <c r="AA65" i="10" s="1"/>
  <c r="J84" i="10"/>
  <c r="AC84" i="10" s="1"/>
  <c r="J69" i="10"/>
  <c r="AC69" i="10" s="1"/>
  <c r="J64" i="10"/>
  <c r="AC64" i="10" s="1"/>
  <c r="I94" i="10"/>
  <c r="S46" i="10"/>
  <c r="AA46" i="10"/>
  <c r="AA27" i="10"/>
  <c r="S45" i="10"/>
  <c r="S28" i="10"/>
  <c r="AH49" i="10"/>
  <c r="J107" i="10"/>
  <c r="S107" i="10" s="1"/>
  <c r="J108" i="10"/>
  <c r="S79" i="13" s="1"/>
  <c r="J109" i="10"/>
  <c r="AH109" i="10" s="1"/>
  <c r="J94" i="10"/>
  <c r="J75" i="10"/>
  <c r="S75" i="10" s="1"/>
  <c r="I78" i="10"/>
  <c r="V78" i="10" s="1"/>
  <c r="I71" i="10"/>
  <c r="AA71" i="10" s="1"/>
  <c r="AF36" i="10"/>
  <c r="AH45" i="10"/>
  <c r="AF55" i="10"/>
  <c r="I68" i="10"/>
  <c r="AF68" i="10" s="1"/>
  <c r="R75" i="13"/>
  <c r="J96" i="10"/>
  <c r="S96" i="10" s="1"/>
  <c r="C75" i="13"/>
  <c r="I108" i="10"/>
  <c r="C79" i="13" s="1"/>
  <c r="I74" i="10"/>
  <c r="V74" i="10" s="1"/>
  <c r="J71" i="10"/>
  <c r="AH71" i="10" s="1"/>
  <c r="I75" i="10"/>
  <c r="V75" i="10" s="1"/>
  <c r="I64" i="10"/>
  <c r="AA64" i="10" s="1"/>
  <c r="V28" i="10"/>
  <c r="S48" i="10"/>
  <c r="N44" i="10"/>
  <c r="M40" i="10"/>
  <c r="V41" i="10"/>
  <c r="X54" i="10"/>
  <c r="AC41" i="10"/>
  <c r="S49" i="10"/>
  <c r="AA41" i="10"/>
  <c r="AH48" i="10"/>
  <c r="N15" i="10"/>
  <c r="AH54" i="10"/>
  <c r="AA30" i="10"/>
  <c r="AH41" i="10"/>
  <c r="V20" i="10"/>
  <c r="AF28" i="10"/>
  <c r="AC27" i="10"/>
  <c r="AA20" i="10"/>
  <c r="V16" i="10"/>
  <c r="Q28" i="10"/>
  <c r="S27" i="10"/>
  <c r="AC54" i="10"/>
  <c r="V53" i="10"/>
  <c r="AC16" i="10"/>
  <c r="X41" i="10"/>
  <c r="M36" i="10"/>
  <c r="S25" i="10"/>
  <c r="AF20" i="10"/>
  <c r="X27" i="10"/>
  <c r="Q53" i="10"/>
  <c r="AA53" i="10"/>
  <c r="Q16" i="10"/>
  <c r="Q38" i="10"/>
  <c r="AH16" i="10"/>
  <c r="V29" i="10"/>
  <c r="AA34" i="10"/>
  <c r="S21" i="10"/>
  <c r="AA42" i="10"/>
  <c r="M23" i="10"/>
  <c r="AC46" i="10"/>
  <c r="Q46" i="10"/>
  <c r="AH28" i="10"/>
  <c r="AA36" i="10"/>
  <c r="X16" i="10"/>
  <c r="AC42" i="10"/>
  <c r="AC49" i="10"/>
  <c r="AF27" i="10"/>
  <c r="M13" i="10"/>
  <c r="AF14" i="10"/>
  <c r="AH46" i="10"/>
  <c r="S16" i="10"/>
  <c r="AA55" i="10"/>
  <c r="S31" i="10"/>
  <c r="AF52" i="10"/>
  <c r="AF42" i="10"/>
  <c r="AH31" i="10"/>
  <c r="V55" i="10"/>
  <c r="N51" i="10"/>
  <c r="N24" i="10"/>
  <c r="M32" i="10"/>
  <c r="N34" i="10"/>
  <c r="V14" i="10"/>
  <c r="AH25" i="10"/>
  <c r="AF22" i="10"/>
  <c r="S29" i="10"/>
  <c r="X31" i="10"/>
  <c r="V47" i="10"/>
  <c r="Q52" i="10"/>
  <c r="X29" i="10"/>
  <c r="AA24" i="10"/>
  <c r="AA14" i="10"/>
  <c r="AC25" i="10"/>
  <c r="V46" i="10"/>
  <c r="AF48" i="10"/>
  <c r="AC29" i="10"/>
  <c r="V27" i="10"/>
  <c r="AC34" i="10"/>
  <c r="AC22" i="10"/>
  <c r="AA47" i="10"/>
  <c r="M47" i="10"/>
  <c r="X34" i="10"/>
  <c r="X22" i="10"/>
  <c r="V18" i="10"/>
  <c r="N38" i="10"/>
  <c r="N46" i="10"/>
  <c r="M46" i="10"/>
  <c r="N36" i="10"/>
  <c r="M18" i="10"/>
  <c r="M34" i="10"/>
  <c r="N14" i="10"/>
  <c r="M33" i="10"/>
  <c r="M41" i="10"/>
  <c r="S17" i="10"/>
  <c r="V50" i="10"/>
  <c r="V22" i="10"/>
  <c r="AA23" i="10"/>
  <c r="AA26" i="10"/>
  <c r="AA18" i="10"/>
  <c r="Q19" i="10"/>
  <c r="S51" i="10"/>
  <c r="S52" i="10"/>
  <c r="N19" i="10"/>
  <c r="N23" i="10"/>
  <c r="M29" i="10"/>
  <c r="X17" i="10"/>
  <c r="AF23" i="10"/>
  <c r="M14" i="10"/>
  <c r="M22" i="10"/>
  <c r="M37" i="10"/>
  <c r="N45" i="10"/>
  <c r="M45" i="10"/>
  <c r="N20" i="10"/>
  <c r="N33" i="10"/>
  <c r="N49" i="10"/>
  <c r="N16" i="10"/>
  <c r="N53" i="10"/>
  <c r="M52" i="10"/>
  <c r="N52" i="10"/>
  <c r="N50" i="10"/>
  <c r="AA22" i="10"/>
  <c r="V23" i="10"/>
  <c r="V26" i="10"/>
  <c r="Q18" i="10"/>
  <c r="AA19" i="10"/>
  <c r="X51" i="10"/>
  <c r="AH52" i="10"/>
  <c r="M55" i="10"/>
  <c r="M31" i="10"/>
  <c r="N12" i="10"/>
  <c r="M50" i="10"/>
  <c r="M38" i="10"/>
  <c r="M15" i="10"/>
  <c r="M48" i="10"/>
  <c r="M21" i="10"/>
  <c r="M54" i="10"/>
  <c r="N55" i="10"/>
  <c r="N39" i="10"/>
  <c r="N37" i="10"/>
  <c r="N30" i="10"/>
  <c r="V12" i="10"/>
  <c r="AF26" i="10"/>
  <c r="V19" i="10"/>
  <c r="AC51" i="10"/>
  <c r="X53" i="10"/>
  <c r="X52" i="10"/>
  <c r="S40" i="10"/>
  <c r="N43" i="10"/>
  <c r="M35" i="10"/>
  <c r="N35" i="10"/>
  <c r="N32" i="10"/>
  <c r="M17" i="10"/>
  <c r="M25" i="10"/>
  <c r="AA12" i="10"/>
  <c r="AC30" i="10"/>
  <c r="AH43" i="10"/>
  <c r="AH51" i="10"/>
  <c r="AH53" i="10"/>
  <c r="AC40" i="10"/>
  <c r="I57" i="10"/>
  <c r="AF57" i="10" s="1"/>
  <c r="J57" i="10"/>
  <c r="AC57" i="10" s="1"/>
  <c r="N27" i="10"/>
  <c r="N42" i="10"/>
  <c r="M43" i="10"/>
  <c r="M26" i="10"/>
  <c r="N41" i="10"/>
  <c r="N17" i="10"/>
  <c r="N25" i="10"/>
  <c r="M30" i="10"/>
  <c r="M49" i="10"/>
  <c r="M51" i="10"/>
  <c r="M44" i="10"/>
  <c r="M27" i="10"/>
  <c r="N47" i="10"/>
  <c r="N29" i="10"/>
  <c r="AF12" i="10"/>
  <c r="AH30" i="10"/>
  <c r="S43" i="10"/>
  <c r="S24" i="10"/>
  <c r="AH44" i="10"/>
  <c r="S47" i="10"/>
  <c r="AC53" i="10"/>
  <c r="AC13" i="10"/>
  <c r="AH40" i="10"/>
  <c r="M53" i="10"/>
  <c r="M19" i="10"/>
  <c r="M12" i="10"/>
  <c r="N21" i="10"/>
  <c r="N13" i="10"/>
  <c r="N26" i="10"/>
  <c r="N48" i="10"/>
  <c r="M20" i="10"/>
  <c r="M28" i="10"/>
  <c r="N54" i="10"/>
  <c r="N28" i="10"/>
  <c r="M42" i="10"/>
  <c r="N18" i="10"/>
  <c r="N31" i="10"/>
  <c r="M39" i="10"/>
  <c r="N40" i="10"/>
  <c r="N22" i="10"/>
  <c r="M16" i="10"/>
  <c r="AA48" i="10"/>
  <c r="S42" i="10"/>
  <c r="Q24" i="10"/>
  <c r="Q48" i="10"/>
  <c r="X42" i="10"/>
  <c r="AF24" i="10"/>
  <c r="AF47" i="10"/>
  <c r="S34" i="10"/>
  <c r="S22" i="10"/>
  <c r="M24" i="10"/>
  <c r="V101" i="10"/>
  <c r="V84" i="10"/>
  <c r="AF102" i="10"/>
  <c r="B9" i="13"/>
  <c r="S75" i="13"/>
  <c r="AA105" i="10"/>
  <c r="X101" i="10"/>
  <c r="Q106" i="10"/>
  <c r="AH106" i="10"/>
  <c r="H86" i="10"/>
  <c r="U111" i="10"/>
  <c r="Z111" i="10"/>
  <c r="X109" i="10"/>
  <c r="Q83" i="10"/>
  <c r="O111" i="10"/>
  <c r="S4" i="13" s="1"/>
  <c r="AG111" i="10"/>
  <c r="P111" i="10"/>
  <c r="AC100" i="10"/>
  <c r="W86" i="10"/>
  <c r="H111" i="10"/>
  <c r="J9" i="13" s="1"/>
  <c r="J8" i="13" s="1"/>
  <c r="R111" i="10"/>
  <c r="AB111" i="10"/>
  <c r="AD111" i="10"/>
  <c r="S7" i="13" s="1"/>
  <c r="AE86" i="10"/>
  <c r="R86" i="10"/>
  <c r="W111" i="10"/>
  <c r="AE111" i="10"/>
  <c r="AB86" i="10"/>
  <c r="AH102" i="10"/>
  <c r="Y111" i="10"/>
  <c r="S6" i="13" s="1"/>
  <c r="Z86" i="10"/>
  <c r="AA106" i="10"/>
  <c r="P86" i="10"/>
  <c r="AF105" i="10"/>
  <c r="AF84" i="10"/>
  <c r="AG86" i="10"/>
  <c r="AF98" i="10"/>
  <c r="T111" i="10"/>
  <c r="S5" i="13" s="1"/>
  <c r="U86" i="10"/>
  <c r="AF69" i="10"/>
  <c r="AF66" i="10"/>
  <c r="AF70" i="10"/>
  <c r="V73" i="10"/>
  <c r="AC77" i="10"/>
  <c r="U83" i="10"/>
  <c r="V83" i="10" s="1"/>
  <c r="X73" i="10"/>
  <c r="Z83" i="10"/>
  <c r="AA83" i="10" s="1"/>
  <c r="AH77" i="10"/>
  <c r="AE83" i="10"/>
  <c r="AF83" i="10" s="1"/>
  <c r="AH70" i="10"/>
  <c r="AH80" i="10" l="1"/>
  <c r="AH103" i="10"/>
  <c r="V57" i="10"/>
  <c r="AC93" i="10"/>
  <c r="AC72" i="10"/>
  <c r="AC109" i="10"/>
  <c r="X80" i="10"/>
  <c r="AB83" i="10" s="1"/>
  <c r="AC83" i="10" s="1"/>
  <c r="S82" i="10"/>
  <c r="AA80" i="10"/>
  <c r="AF94" i="10"/>
  <c r="S108" i="10"/>
  <c r="V80" i="10"/>
  <c r="S80" i="10"/>
  <c r="W83" i="10" s="1"/>
  <c r="X83" i="10" s="1"/>
  <c r="AF80" i="10"/>
  <c r="AH82" i="10"/>
  <c r="X108" i="10"/>
  <c r="X82" i="10"/>
  <c r="AC104" i="10"/>
  <c r="Q81" i="10"/>
  <c r="AC71" i="10"/>
  <c r="AH68" i="10"/>
  <c r="V109" i="10"/>
  <c r="AA74" i="10"/>
  <c r="AF74" i="10"/>
  <c r="Q79" i="10"/>
  <c r="AA72" i="10"/>
  <c r="Q74" i="10"/>
  <c r="AA109" i="10"/>
  <c r="AF109" i="10"/>
  <c r="V72" i="10"/>
  <c r="AF67" i="10"/>
  <c r="AA57" i="10"/>
  <c r="AF72" i="10"/>
  <c r="X72" i="10"/>
  <c r="X106" i="10"/>
  <c r="S109" i="10"/>
  <c r="Q75" i="10"/>
  <c r="S106" i="10"/>
  <c r="AF95" i="10"/>
  <c r="AA84" i="10"/>
  <c r="AA96" i="10"/>
  <c r="AC94" i="10"/>
  <c r="Q95" i="10"/>
  <c r="V95" i="10"/>
  <c r="AA75" i="10"/>
  <c r="Q96" i="10"/>
  <c r="V96" i="10"/>
  <c r="S72" i="10"/>
  <c r="AA107" i="10"/>
  <c r="AF107" i="10"/>
  <c r="AF71" i="10"/>
  <c r="AC98" i="10"/>
  <c r="V81" i="10"/>
  <c r="V107" i="10"/>
  <c r="AF106" i="10"/>
  <c r="AH66" i="10"/>
  <c r="AH97" i="10"/>
  <c r="AH64" i="10"/>
  <c r="AA81" i="10"/>
  <c r="AF75" i="10"/>
  <c r="X74" i="10"/>
  <c r="AF103" i="10"/>
  <c r="S74" i="10"/>
  <c r="X79" i="10"/>
  <c r="X94" i="10"/>
  <c r="AC99" i="10"/>
  <c r="S94" i="10"/>
  <c r="AF65" i="10"/>
  <c r="AH94" i="10"/>
  <c r="AF97" i="10"/>
  <c r="S99" i="10"/>
  <c r="X99" i="10"/>
  <c r="AH95" i="10"/>
  <c r="AC108" i="10"/>
  <c r="Q94" i="10"/>
  <c r="AC76" i="10"/>
  <c r="V94" i="10"/>
  <c r="AF100" i="10"/>
  <c r="AA76" i="10"/>
  <c r="AH108" i="10"/>
  <c r="AA94" i="10"/>
  <c r="AH74" i="10"/>
  <c r="S95" i="10"/>
  <c r="I86" i="10"/>
  <c r="AF86" i="10" s="1"/>
  <c r="AF64" i="10"/>
  <c r="AF104" i="10"/>
  <c r="AA77" i="10"/>
  <c r="AH75" i="10"/>
  <c r="AA99" i="10"/>
  <c r="AF99" i="10"/>
  <c r="V99" i="10"/>
  <c r="S79" i="10"/>
  <c r="AH65" i="10"/>
  <c r="AC79" i="10"/>
  <c r="X81" i="10"/>
  <c r="X57" i="10"/>
  <c r="AC81" i="10"/>
  <c r="AA68" i="10"/>
  <c r="AH81" i="10"/>
  <c r="AH96" i="10"/>
  <c r="AH105" i="10"/>
  <c r="V82" i="10"/>
  <c r="Q78" i="10"/>
  <c r="X75" i="10"/>
  <c r="AC75" i="10"/>
  <c r="S84" i="10"/>
  <c r="X84" i="10"/>
  <c r="AC96" i="10"/>
  <c r="AC67" i="10"/>
  <c r="X96" i="10"/>
  <c r="AF78" i="10"/>
  <c r="AH69" i="10"/>
  <c r="AH84" i="10"/>
  <c r="AA82" i="10"/>
  <c r="AF82" i="10"/>
  <c r="AA78" i="10"/>
  <c r="AA93" i="10"/>
  <c r="X107" i="10"/>
  <c r="J111" i="10"/>
  <c r="X111" i="10" s="1"/>
  <c r="R79" i="13"/>
  <c r="AF79" i="10"/>
  <c r="AH107" i="10"/>
  <c r="V108" i="10"/>
  <c r="AA108" i="10"/>
  <c r="AC107" i="10"/>
  <c r="AH78" i="10"/>
  <c r="AF108" i="10"/>
  <c r="X78" i="10"/>
  <c r="AC95" i="10"/>
  <c r="AA79" i="10"/>
  <c r="Q108" i="10"/>
  <c r="I111" i="10"/>
  <c r="AF111" i="10" s="1"/>
  <c r="B79" i="13"/>
  <c r="AC78" i="10"/>
  <c r="J86" i="10"/>
  <c r="S86" i="10" s="1"/>
  <c r="AH57" i="10"/>
  <c r="S57" i="10"/>
  <c r="Q57" i="10"/>
  <c r="S8" i="13"/>
  <c r="AC111" i="10" l="1"/>
  <c r="AA86" i="10"/>
  <c r="Q86" i="10"/>
  <c r="V86" i="10"/>
  <c r="S111" i="10"/>
  <c r="AH111" i="10"/>
  <c r="AC86" i="10"/>
  <c r="X86" i="10"/>
  <c r="AH86" i="10"/>
  <c r="Q111" i="10"/>
  <c r="AA111" i="10"/>
  <c r="V111"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<sst xmlns="http://schemas.openxmlformats.org/spreadsheetml/2006/main" count="3974" uniqueCount="1315">
  <si>
    <t>Time</t>
  </si>
  <si>
    <t>Date</t>
  </si>
  <si>
    <t>Volunteer</t>
  </si>
  <si>
    <t>Location Name</t>
  </si>
  <si>
    <t>Latitude</t>
  </si>
  <si>
    <t>Longitude</t>
  </si>
  <si>
    <t>Above or Below CSO</t>
  </si>
  <si>
    <t>Electrical Conductivity (Micros)</t>
  </si>
  <si>
    <t>Water Temp (deg C)</t>
  </si>
  <si>
    <t>River Height</t>
  </si>
  <si>
    <t>Comments</t>
  </si>
  <si>
    <t>Geoff</t>
  </si>
  <si>
    <t>Abbey mill</t>
  </si>
  <si>
    <t>Abbey Mill</t>
  </si>
  <si>
    <t>Na</t>
  </si>
  <si>
    <t>Heavy rain night before</t>
  </si>
  <si>
    <t>Mike Sztymiak</t>
  </si>
  <si>
    <t>Twyning fleet</t>
  </si>
  <si>
    <t>Below</t>
  </si>
  <si>
    <t>Overnight rain</t>
  </si>
  <si>
    <t>Martin Hicks</t>
  </si>
  <si>
    <t>Recent heavy rain</t>
  </si>
  <si>
    <t>Welford Boat Station</t>
  </si>
  <si>
    <t>Weston on Avon</t>
  </si>
  <si>
    <t>Recent rain</t>
  </si>
  <si>
    <t>Hampton Wood</t>
  </si>
  <si>
    <t>River level up</t>
  </si>
  <si>
    <t>Hampton Lucy</t>
  </si>
  <si>
    <t>River level up, recent persistent rainfall</t>
  </si>
  <si>
    <t>Barton</t>
  </si>
  <si>
    <t>Recent rain, river up</t>
  </si>
  <si>
    <t>River up recent rain</t>
  </si>
  <si>
    <t>Twyning Fleet</t>
  </si>
  <si>
    <t>No rain for 24 hours</t>
  </si>
  <si>
    <t>Recent heavy rain, river up</t>
  </si>
  <si>
    <t>Chris Fox</t>
  </si>
  <si>
    <t>Slight rain period</t>
  </si>
  <si>
    <t>Rain</t>
  </si>
  <si>
    <t>Paul Fairburn</t>
  </si>
  <si>
    <t>Pitch 16</t>
  </si>
  <si>
    <t>Nitrite zero</t>
  </si>
  <si>
    <t>Avonbank Drive</t>
  </si>
  <si>
    <t>Above</t>
  </si>
  <si>
    <t>Nitrites zero</t>
  </si>
  <si>
    <t>Mod rain 2 days before</t>
  </si>
  <si>
    <t>Rainy day</t>
  </si>
  <si>
    <t>Helen Carver</t>
  </si>
  <si>
    <t>Swillgate A38</t>
  </si>
  <si>
    <t>Richard Thomas</t>
  </si>
  <si>
    <t>Air temp 22.0C</t>
  </si>
  <si>
    <t>Air temp 20.4C</t>
  </si>
  <si>
    <t>Good weather</t>
  </si>
  <si>
    <t>Steve G</t>
  </si>
  <si>
    <t>Carrant Bredon rd</t>
  </si>
  <si>
    <t>Dry day</t>
  </si>
  <si>
    <t>Olivia Hatch</t>
  </si>
  <si>
    <t>Talton Lodge</t>
  </si>
  <si>
    <t>Stella Khan</t>
  </si>
  <si>
    <t>River stour levelsv low</t>
  </si>
  <si>
    <t>Derek O'Rourke</t>
  </si>
  <si>
    <t>Preston- on- stour.River bridge</t>
  </si>
  <si>
    <t>Slight drizzle falling.water height average.water sample taken,mid-stream.Flow rate- slow.</t>
  </si>
  <si>
    <t>Site Name</t>
  </si>
  <si>
    <t>Nitrate Pollution Category</t>
  </si>
  <si>
    <t>Phosphate Pollution Category</t>
  </si>
  <si>
    <t>Calm - sunny - warm</t>
  </si>
  <si>
    <t>Newbold Mill Stour</t>
  </si>
  <si>
    <t>Hot dry day 30C</t>
  </si>
  <si>
    <t>No phosphate test</t>
  </si>
  <si>
    <t>Preston- on- stour river bridge</t>
  </si>
  <si>
    <t>Outside temp 28c.mid river readings.still water.</t>
  </si>
  <si>
    <t>Avonbank</t>
  </si>
  <si>
    <t>Pitch16</t>
  </si>
  <si>
    <t>Stour Shipston bridge</t>
  </si>
  <si>
    <t>Stour, Mill House, Newbold</t>
  </si>
  <si>
    <t>1m below</t>
  </si>
  <si>
    <t>Heavy rain day before</t>
  </si>
  <si>
    <t>Overcast, occasional light rain</t>
  </si>
  <si>
    <t>Preston river bridge</t>
  </si>
  <si>
    <t>Significant rainfall on 12 sept.</t>
  </si>
  <si>
    <t>Stour Bridge Shipston</t>
  </si>
  <si>
    <t>Light rain</t>
  </si>
  <si>
    <t>Nitrate test failure, awaiting new equipment</t>
  </si>
  <si>
    <t>Heavy rainfall</t>
  </si>
  <si>
    <t>Preston onStour river bridge</t>
  </si>
  <si>
    <t>Readings taken day after heavy rain</t>
  </si>
  <si>
    <t>The Dell, TRINITY CHURCH</t>
  </si>
  <si>
    <t>One off test for the local paper</t>
  </si>
  <si>
    <t>Nitrite was zero</t>
  </si>
  <si>
    <t>Readings taken day after heavy rain showers.</t>
  </si>
  <si>
    <t>Stour, Mill Bridge, Shipston</t>
  </si>
  <si>
    <t>30m below</t>
  </si>
  <si>
    <t>Mill Stour Newbold</t>
  </si>
  <si>
    <t>River height slightly elevated</t>
  </si>
  <si>
    <t>Illmington middle st</t>
  </si>
  <si>
    <t>John Conchar</t>
  </si>
  <si>
    <t>Stour Shipston Mill bridge</t>
  </si>
  <si>
    <t>1st rain for a while</t>
  </si>
  <si>
    <t>Stour, Mill Newbold</t>
  </si>
  <si>
    <t>Heavy rain this am, but 1st for a while</t>
  </si>
  <si>
    <t>Paul Berry</t>
  </si>
  <si>
    <t>Heavy rain overnight</t>
  </si>
  <si>
    <t>Preston River bridge</t>
  </si>
  <si>
    <t>Readings taken the day after sustained rainfall.</t>
  </si>
  <si>
    <t>Rain overnight</t>
  </si>
  <si>
    <t>Heavy rain</t>
  </si>
  <si>
    <t>Heavy rain over night</t>
  </si>
  <si>
    <t>Cloudy muddy water. Nitrite zero.</t>
  </si>
  <si>
    <t>2 days rain, low temps</t>
  </si>
  <si>
    <t>River up</t>
  </si>
  <si>
    <t>Recent heavy rain, high river level</t>
  </si>
  <si>
    <t>River high</t>
  </si>
  <si>
    <t>Trevor Acreman</t>
  </si>
  <si>
    <t>Clifford Chambers</t>
  </si>
  <si>
    <t>Wet and windy conditions</t>
  </si>
  <si>
    <t>Fairly consistant overnight rain</t>
  </si>
  <si>
    <t>River in flood, rainfall 60 mm in week up to 21/10 (my measurement close to sampling point</t>
  </si>
  <si>
    <t>Cloudy with heavy flooding</t>
  </si>
  <si>
    <t>heavy rain, river high</t>
  </si>
  <si>
    <t>Clifford Chambers mill bridge</t>
  </si>
  <si>
    <t>River was in flood previous 2 days</t>
  </si>
  <si>
    <t>River levels were very high on preceding days. On the 20th Oct Shipston gauge recorded 3.2m and the Mill Stour paddock  was completely submerged. This could account for the lower phosphate levels due to dilution effect of substantial rain fall.</t>
  </si>
  <si>
    <t>Flooding</t>
  </si>
  <si>
    <t>Preston river bridge.</t>
  </si>
  <si>
    <t>Some heavy rain over past few days</t>
  </si>
  <si>
    <t>High but falling.</t>
  </si>
  <si>
    <t>Rain the night before</t>
  </si>
  <si>
    <t>Mary Manandhar</t>
  </si>
  <si>
    <t>Alveston Weir</t>
  </si>
  <si>
    <t>Steve Currie</t>
  </si>
  <si>
    <t>Swiffen Bank</t>
  </si>
  <si>
    <t>Falling floods, cloudy water</t>
  </si>
  <si>
    <t>Floods</t>
  </si>
  <si>
    <t>River swollen,steady rainfall overnight</t>
  </si>
  <si>
    <t>Rain - river up, brown</t>
  </si>
  <si>
    <t>river high</t>
  </si>
  <si>
    <t>Rain day before</t>
  </si>
  <si>
    <t>Flood, noticeable current</t>
  </si>
  <si>
    <t>River height 0.99m. CSO gushing visibly as river level is above its outflow.</t>
  </si>
  <si>
    <t>Renny Wodynska</t>
  </si>
  <si>
    <t>River starting to recede after overflowing following heavy rain</t>
  </si>
  <si>
    <t>No rain for 3 days, flood susiding</t>
  </si>
  <si>
    <t>Overcast. Raining preceding day</t>
  </si>
  <si>
    <t>Stour, Cherington, bridge next to treatment plant</t>
  </si>
  <si>
    <t>Stour, Shipston, Mill bridge</t>
  </si>
  <si>
    <t>River level fairly high</t>
  </si>
  <si>
    <t>wet - river up, slow flow</t>
  </si>
  <si>
    <t>Avonbank drive</t>
  </si>
  <si>
    <t>Clifford mill bridge</t>
  </si>
  <si>
    <t>Some rain night before</t>
  </si>
  <si>
    <t>Anna Pike</t>
  </si>
  <si>
    <t>Stour Stretton-on-Fosse sewage</t>
  </si>
  <si>
    <t>Stour Stretton-on-Fosse village side</t>
  </si>
  <si>
    <t>Dry. Rain on preceding days</t>
  </si>
  <si>
    <t>Fast flowing and swollen after sustained rainfall</t>
  </si>
  <si>
    <t>Floods receding</t>
  </si>
  <si>
    <t>Kathryn Deaner</t>
  </si>
  <si>
    <t>Visible copious quantities white foam</t>
  </si>
  <si>
    <t>Wet, river up, fast flow</t>
  </si>
  <si>
    <t>River is quite a bit lower this week</t>
  </si>
  <si>
    <t>river down - slow flow</t>
  </si>
  <si>
    <t>Stour Stretton-on-Fosse Village side</t>
  </si>
  <si>
    <t>Dry sunny cold</t>
  </si>
  <si>
    <t>Some evidence</t>
  </si>
  <si>
    <t>Swilgate A38</t>
  </si>
  <si>
    <t>Shipston - Mill Bridge</t>
  </si>
  <si>
    <t>Carrant Bredon road</t>
  </si>
  <si>
    <t>Swiffen bank</t>
  </si>
  <si>
    <t>Raim - river slightly up</t>
  </si>
  <si>
    <t>Low surface foam</t>
  </si>
  <si>
    <t>Wet weather</t>
  </si>
  <si>
    <t>River flooded after heavy rainfall - farm opposite collection point flooded</t>
  </si>
  <si>
    <t>There has been heavy rain a few days ago and the river has flooded</t>
  </si>
  <si>
    <t>heavy rain day before.</t>
  </si>
  <si>
    <t>Tested 20metres from pitch 16 because it was underwater</t>
  </si>
  <si>
    <t>River swollen after heavy day/ night rain</t>
  </si>
  <si>
    <t>Flood receeding.</t>
  </si>
  <si>
    <t>Light rain, flood still receeding.</t>
  </si>
  <si>
    <t>It's been raining a lot agai.but water is lower than previous week</t>
  </si>
  <si>
    <t>Carrant Bredon Rd</t>
  </si>
  <si>
    <t>Preston-on-Stour River Bridge</t>
  </si>
  <si>
    <t>Row Labels</t>
  </si>
  <si>
    <t>Average of Latitude</t>
  </si>
  <si>
    <t>Average of Longitude</t>
  </si>
  <si>
    <t>Season</t>
  </si>
  <si>
    <t>Stratford</t>
  </si>
  <si>
    <t>Region</t>
  </si>
  <si>
    <t>Tewkesbury</t>
  </si>
  <si>
    <t>Shipston</t>
  </si>
  <si>
    <t>River</t>
  </si>
  <si>
    <t>Carrant</t>
  </si>
  <si>
    <t>Avon</t>
  </si>
  <si>
    <t>Stour</t>
  </si>
  <si>
    <t>Swilgate</t>
  </si>
  <si>
    <t>Fair weather - river slow</t>
  </si>
  <si>
    <t>Time of Day</t>
  </si>
  <si>
    <t>Swillgate</t>
  </si>
  <si>
    <t>Stour Willington</t>
  </si>
  <si>
    <t>Stour Stretton-on-Fosse Village</t>
  </si>
  <si>
    <t>Matt Willoughby</t>
  </si>
  <si>
    <t>N/A</t>
  </si>
  <si>
    <t>Flooding and rain</t>
  </si>
  <si>
    <t>Heavy rain most of week ..flooded almost to steps</t>
  </si>
  <si>
    <t>It's been heavy rain most days this week</t>
  </si>
  <si>
    <t>Folding</t>
  </si>
  <si>
    <t>Heavy rain and flooding 2 days ago</t>
  </si>
  <si>
    <t>Very heavy rain and flooding 2 days ago</t>
  </si>
  <si>
    <t>River very swollen.Prolonged rain.</t>
  </si>
  <si>
    <t>Flooded but falling. just within banks. V. Turbid</t>
  </si>
  <si>
    <t>Air temp 4.8</t>
  </si>
  <si>
    <t>Air temp 5</t>
  </si>
  <si>
    <t>Flooding.</t>
  </si>
  <si>
    <t>Significant flood receeding and lots of flood related debris.</t>
  </si>
  <si>
    <t>Flood receding, debris evident</t>
  </si>
  <si>
    <t>No rain for 3 days</t>
  </si>
  <si>
    <t>Level dropped rapidly. Also a lot clearer</t>
  </si>
  <si>
    <t>Samples</t>
  </si>
  <si>
    <t>Year</t>
  </si>
  <si>
    <t>John Stolwood</t>
  </si>
  <si>
    <t>A Edwards</t>
  </si>
  <si>
    <t>Pete Steele</t>
  </si>
  <si>
    <t>Steve Martin</t>
  </si>
  <si>
    <t>Alice Jennings</t>
  </si>
  <si>
    <t>Helen Wolfson</t>
  </si>
  <si>
    <t>A Duxbury</t>
  </si>
  <si>
    <t>Barbara Babbage</t>
  </si>
  <si>
    <t>Clifford Chambers Road bridge</t>
  </si>
  <si>
    <t>Fell Mill Lane Footbridge nr Sewage Works</t>
  </si>
  <si>
    <t>The Ford, Langley</t>
  </si>
  <si>
    <t>Lower lode</t>
  </si>
  <si>
    <t>Langley Ford</t>
  </si>
  <si>
    <t>Black Bear</t>
  </si>
  <si>
    <t>Pershore leisure centre</t>
  </si>
  <si>
    <t>Pershore bridges</t>
  </si>
  <si>
    <t>Lower Lode</t>
  </si>
  <si>
    <t>Alveston weir</t>
  </si>
  <si>
    <t>River Stour Cherington after sewerage works</t>
  </si>
  <si>
    <t>In flood</t>
  </si>
  <si>
    <t>Rain am</t>
  </si>
  <si>
    <t>No rain</t>
  </si>
  <si>
    <t>In flood previous week</t>
  </si>
  <si>
    <t>Cold and dry (flooding of area over previous 2 weeks)</t>
  </si>
  <si>
    <t>Dry clear weather</t>
  </si>
  <si>
    <t>Dry</t>
  </si>
  <si>
    <t>Dry and cloudy 5C</t>
  </si>
  <si>
    <t>Dry clear day</t>
  </si>
  <si>
    <t>Dry all week</t>
  </si>
  <si>
    <t>Very murky after storm</t>
  </si>
  <si>
    <t>Water very murky</t>
  </si>
  <si>
    <t>Cold and dry</t>
  </si>
  <si>
    <t>After flood</t>
  </si>
  <si>
    <t>High sediment</t>
  </si>
  <si>
    <t>River level high after recent flood</t>
  </si>
  <si>
    <t>Dry and Windy</t>
  </si>
  <si>
    <t>Dry clear</t>
  </si>
  <si>
    <t>Dry and cloudy</t>
  </si>
  <si>
    <t>Lovely afternoon</t>
  </si>
  <si>
    <t>I check the phosphate reading by retesting and it can out the same again.</t>
  </si>
  <si>
    <t>Really windy, river moving quickly</t>
  </si>
  <si>
    <t>Phosphate reading off scale. True value thus not reflected in result</t>
  </si>
  <si>
    <t>River v murky. Recent garden flooding Mill house</t>
  </si>
  <si>
    <t>Readings taken after heavy overnight rain.</t>
  </si>
  <si>
    <t>Heavy rain in week. Flooded and flowing back from Avon</t>
  </si>
  <si>
    <t>Post h flooding and heavy rain Friday</t>
  </si>
  <si>
    <t>River in flood. Can’t see marking on usual gauge, its reading +6 on gauge to bridge</t>
  </si>
  <si>
    <t>Flood 2 days before</t>
  </si>
  <si>
    <t>Flooded 3 days ago and flood resurgent.</t>
  </si>
  <si>
    <t>It flooded 3 days ago.. now starting to subside</t>
  </si>
  <si>
    <t>Fast flowing river</t>
  </si>
  <si>
    <t>Readings taken in swollen river</t>
  </si>
  <si>
    <t>Sunny dry day</t>
  </si>
  <si>
    <t>Pershore Leisure Centre</t>
  </si>
  <si>
    <t>Pershore Bridges</t>
  </si>
  <si>
    <t>No evidence</t>
  </si>
  <si>
    <t>Helen W</t>
  </si>
  <si>
    <t>Ed Holmes</t>
  </si>
  <si>
    <t>Ole S-H</t>
  </si>
  <si>
    <t>Helen Baldwin</t>
  </si>
  <si>
    <t>Linda Wright</t>
  </si>
  <si>
    <t>Bell Brook 1</t>
  </si>
  <si>
    <t>Sherbourne Brook 1</t>
  </si>
  <si>
    <t>Mill Bridge, Peopleton, Worcs</t>
  </si>
  <si>
    <t>Clifford Chambers Mill bridge</t>
  </si>
  <si>
    <t>N/a</t>
  </si>
  <si>
    <t>Dry clear but Flood water full flood at Ford still rising</t>
  </si>
  <si>
    <t>River in flood, moving slowly, lots of debris in water. Gauge was at 3.5 on pavement by Abbey Mill</t>
  </si>
  <si>
    <t>Nitrite = 0.51</t>
  </si>
  <si>
    <t>Nitrite = 0</t>
  </si>
  <si>
    <t>After heavy rain and flooding</t>
  </si>
  <si>
    <t>Flood has increased since last week and is subsiding.</t>
  </si>
  <si>
    <t>Brook in full flood. Unable to access the bridge</t>
  </si>
  <si>
    <t>Readings taken day after heavy persistant     rain</t>
  </si>
  <si>
    <t>Avon in flood and backflowing into Carrant</t>
  </si>
  <si>
    <t>Flooded and turbid</t>
  </si>
  <si>
    <t>V Wet week with frequent floods but sunny and bright Sat/Sun</t>
  </si>
  <si>
    <t>Rainy. Murky water</t>
  </si>
  <si>
    <t>Dry. V murky water</t>
  </si>
  <si>
    <t>River in flood, and bridge over river inaccessible. Gauge height on pavement side at 5</t>
  </si>
  <si>
    <t>Lots of rain in the week</t>
  </si>
  <si>
    <t>Fields very flooded after a lot of rain</t>
  </si>
  <si>
    <t>EC UUID</t>
  </si>
  <si>
    <t>431fb8b0-2642-40ec-aa41-acecf561ea2f</t>
  </si>
  <si>
    <t>f1d080a3-163e-4e3b-8b50-b8bbcc3e0c99</t>
  </si>
  <si>
    <t>cba784d2-293c-4670-83ec-d5103552b9e5</t>
  </si>
  <si>
    <t>acb0f39f-27ee-4f91-821b-437c48dde607</t>
  </si>
  <si>
    <t>4a008b00-d59e-497b-bc5d-31136028329e</t>
  </si>
  <si>
    <t>ad4c4228-ec22-4193-b617-e5225b695a9a</t>
  </si>
  <si>
    <t>48ddf743-e233-4bdc-865f-0a4080a87b02</t>
  </si>
  <si>
    <t>3a4cfb0e-a7b3-4f21-b65b-3184aa6d2deb</t>
  </si>
  <si>
    <t>3b0292a8-6205-402c-b1bb-c4e7fe67943f</t>
  </si>
  <si>
    <t>c2753b89-434f-453d-98f3-7f6ba5589cb8</t>
  </si>
  <si>
    <t>e70f803b-8f80-4f38-a63d-bb741592c0f2</t>
  </si>
  <si>
    <t>c973ad88-7ac4-40f3-87a0-c7ab1a2f17c1</t>
  </si>
  <si>
    <t>def71727-505d-4692-a9a6-83a0f20df5a0</t>
  </si>
  <si>
    <t>942ac25b-16fe-4823-913f-862e08a330a2</t>
  </si>
  <si>
    <t>8ae0b0ad-34c7-4215-80e3-68e737ee6677</t>
  </si>
  <si>
    <t>77f25b53-d28d-456c-a011-0b13467d1390</t>
  </si>
  <si>
    <t>4fc7bd60-f9ae-11ee-8646-436ad8a0950a</t>
  </si>
  <si>
    <t>61964050-338e-4f94-b1fd-7763913f5a78</t>
  </si>
  <si>
    <t>e63d4c0d-1394-4e62-aa7b-06664a3fc080</t>
  </si>
  <si>
    <t>bb0701a2-e197-4bef-8f3b-f21477896b5d</t>
  </si>
  <si>
    <t>5009023a-ac57-4cb1-967a-96034e78bd89</t>
  </si>
  <si>
    <t>0435b25d-0b33-4b37-ad3e-9af7bb9d601a</t>
  </si>
  <si>
    <t>7afab269-1a46-4322-a00f-ed4e2e509bb6</t>
  </si>
  <si>
    <t>90ccebcd-23a0-443d-97cd-540670b3f7cc</t>
  </si>
  <si>
    <t>7a04facb-1d12-498a-8945-58214bf47114</t>
  </si>
  <si>
    <t>48ef79a3-31d4-433f-9eaa-f123f41cbebd</t>
  </si>
  <si>
    <t>39ba55f0-71e7-41b2-8ffb-18d6b9d85875</t>
  </si>
  <si>
    <t>19577766-de42-49d3-8e8c-21d98cb6fed2</t>
  </si>
  <si>
    <t>c364b542-11f6-4bcd-833b-9bb430be0395</t>
  </si>
  <si>
    <t>1a0861ab-6953-4866-8656-8f455dcca8eb</t>
  </si>
  <si>
    <t>4d5bf8f9-5362-4ac4-93f7-3140c1d9df48</t>
  </si>
  <si>
    <t>adcc344a-0fe5-4832-b657-df7e57b1ff5f</t>
  </si>
  <si>
    <t>7334d04a-5edd-4399-a3eb-2bfc4c7971bf</t>
  </si>
  <si>
    <t>bb4d0c11-16bf-4024-86e7-d9c176d5a6fe</t>
  </si>
  <si>
    <t>2d720972-b849-479c-8a74-794ba1df80b1</t>
  </si>
  <si>
    <t>e1c8e981-ccf1-4130-b84b-8ca6c8c81538</t>
  </si>
  <si>
    <t>2e0aed90-f4ff-11ee-aee2-03fd31675b72</t>
  </si>
  <si>
    <t>572ae431-4aa3-4881-acb8-5695f6959570</t>
  </si>
  <si>
    <t>234deca5-e968-469e-abbd-d03d863378a0</t>
  </si>
  <si>
    <t>ea768ba1-4301-40b3-8992-e4d4959ef878</t>
  </si>
  <si>
    <t>5c313c26-64dc-4a81-a277-7339b3e16bbe</t>
  </si>
  <si>
    <t>571f01a5-231d-4219-b9d7-82e85525071c</t>
  </si>
  <si>
    <t>72ae4b7d-e0b0-423e-b3f0-776d66193711</t>
  </si>
  <si>
    <t>2ce53f62-3389-4f11-a778-4d0c239ea150</t>
  </si>
  <si>
    <t>6c6e54e6-ffbb-492a-b022-020b9b0d0465</t>
  </si>
  <si>
    <t>84ef8782-302c-4452-9182-13f486e53ec3</t>
  </si>
  <si>
    <t>7e727877-ccac-4857-92cd-b9aa6f047619</t>
  </si>
  <si>
    <t>ae5392e6-3841-432b-b5f9-5bcb944c799a</t>
  </si>
  <si>
    <t>f3f2cec3-3568-4347-89c3-4dae09e9dc23</t>
  </si>
  <si>
    <t>bc601dd7-fe59-4a47-8a36-1ec64ffe8bbe</t>
  </si>
  <si>
    <t>b5553b56-129e-4e35-a4dc-de0926b13998</t>
  </si>
  <si>
    <t>c161b9b1-fb85-4750-8467-1695c3fc5be1</t>
  </si>
  <si>
    <t>595c4ac9-3b59-4030-9ca9-bbb660fd9093</t>
  </si>
  <si>
    <t>b30b6065-fda3-43dd-a35b-bdeef6356c4b</t>
  </si>
  <si>
    <t>25694235-4f5d-4c48-a7e5-9582b1f77fbe</t>
  </si>
  <si>
    <t>8284562f-a9a0-4330-a1b2-1e0201287c43</t>
  </si>
  <si>
    <t>63ecca50-e3f4-48bf-9e5d-6d1f0a7da000</t>
  </si>
  <si>
    <t>e05e8579-b2ce-4b3b-94de-acceff027afa</t>
  </si>
  <si>
    <t>f1722ecb-df6f-41ea-acd2-480609f1a87a</t>
  </si>
  <si>
    <t>d512ed60-6371-4fba-9390-7d05c82100dc</t>
  </si>
  <si>
    <t>44e5e827-577b-42d2-8515-4b735f0aff0b</t>
  </si>
  <si>
    <t>adfba85a-e992-442d-a2c3-024f54ff1996</t>
  </si>
  <si>
    <t>07572716-c4b3-47e4-ab40-24583a5e0a37</t>
  </si>
  <si>
    <t>e5e0250a-f521-4b36-a5fe-9e699cff8845</t>
  </si>
  <si>
    <t>e4afe100-7e35-4a37-b4dc-a9b2bfe485e8</t>
  </si>
  <si>
    <t>abf4787e-d229-45dc-a4ee-80ef1168896f</t>
  </si>
  <si>
    <t>9f5bdae7-261a-4a60-9a5a-6ed691bd049b</t>
  </si>
  <si>
    <t>534e5779-61bd-45cf-98d4-46ddd5a0df0b</t>
  </si>
  <si>
    <t>f02c8621-13ae-4c73-9141-b0d7d8cbfdb9</t>
  </si>
  <si>
    <t>7a493636-1ee7-46f7-8a72-4f23bae11a96</t>
  </si>
  <si>
    <t>7701dfaa-40a4-46b6-8f90-862433f521f9</t>
  </si>
  <si>
    <t>46768095-9896-45c9-8295-42891fc9cd0f</t>
  </si>
  <si>
    <t>d87a8330-b8c1-4fca-9b9e-a0530f8f081c</t>
  </si>
  <si>
    <t>b565995f-3ac2-4d67-8683-c47734688c12</t>
  </si>
  <si>
    <t>9b09fd00-ed60-4c4c-a523-f39e8a71c453</t>
  </si>
  <si>
    <t>0fcef01f-9e16-4ecc-b25a-8c729b3b437b</t>
  </si>
  <si>
    <t>38a4ef42-e299-461b-9c5d-aba98bc963b4</t>
  </si>
  <si>
    <t>52ecad55-8f04-4cec-91c2-3d34ec642431</t>
  </si>
  <si>
    <t>ea3f5753-c287-4e55-8e73-8975e90ce19a</t>
  </si>
  <si>
    <t>5baf1698-cc9b-40c3-b8e1-e5439ded42fe</t>
  </si>
  <si>
    <t>d0ab48d8-9c7c-4b2a-9799-b1840b2e6b34</t>
  </si>
  <si>
    <t>2d4fcf48-d245-4dbd-a8bb-89e490f66c6f</t>
  </si>
  <si>
    <t>88af3368-8257-448e-9d5c-1e8e086ee8d2</t>
  </si>
  <si>
    <t>46ae4640-7ac5-4b80-977f-d5597a986a75</t>
  </si>
  <si>
    <t>6a987e7e-07f3-4914-b7dd-fa63edf8d908</t>
  </si>
  <si>
    <t>e660e540-e9e0-11ee-b655-139e2e752314</t>
  </si>
  <si>
    <t>5fcbf25c-d954-47b0-8c65-90aa0fa7d0a3</t>
  </si>
  <si>
    <t>d2b382e6-b121-4e52-8acf-e7e0ffea757f</t>
  </si>
  <si>
    <t>b96147aa-d9c9-49d2-ab02-35bc98d0daf3</t>
  </si>
  <si>
    <t>69ab8809-debc-4002-9e11-7951a259b1c3</t>
  </si>
  <si>
    <t>39648168-f46f-4405-9899-ff9a607fab72</t>
  </si>
  <si>
    <t>688c26a2-37ef-4c38-bace-06802cd933e1</t>
  </si>
  <si>
    <t>f93cffcc-5208-4fb6-9c95-2d47c669fc15</t>
  </si>
  <si>
    <t>7e964e07-2051-4fb5-a632-35f2ae7d3f9e</t>
  </si>
  <si>
    <t>b5544ac6-04ff-4916-9d3f-01ed304eaa7c</t>
  </si>
  <si>
    <t>a9f10a1f-213e-47d6-80c2-aa823b2d2a35</t>
  </si>
  <si>
    <t>b438575e-dc1d-4b80-a018-0b9280e6759e</t>
  </si>
  <si>
    <t>3bca709a-2843-4ca9-bac8-1bc87fdcc778</t>
  </si>
  <si>
    <t>489dd80e-cf02-4325-ab00-060064b9ed94</t>
  </si>
  <si>
    <t>6f66e10a-c9cd-4e7f-b2f2-d816b4f01bbd</t>
  </si>
  <si>
    <t>c633b014-dd8b-4723-9566-6b0292c1bdbb</t>
  </si>
  <si>
    <t>8f7ae63b-6219-4fbc-ab25-6ad17db8c4be</t>
  </si>
  <si>
    <t>74cfcf9c-96e6-49d8-b786-21bed3b2f347</t>
  </si>
  <si>
    <t>18cde8d0-517a-40a3-b427-78622c670b7a</t>
  </si>
  <si>
    <t>438d051c-04dd-4161-9296-43c8118245dd</t>
  </si>
  <si>
    <t>30243170-e3b8-11ee-9952-b79de09316b9</t>
  </si>
  <si>
    <t>dd2a6f12-bdea-450e-9dc1-b7bef6fcb0da</t>
  </si>
  <si>
    <t>0ca90f4f-a38b-46f5-88d9-768201e80cbd</t>
  </si>
  <si>
    <t>49bb7608-c47a-41ff-8ef2-ce82aa631f89</t>
  </si>
  <si>
    <t>bd0cd363-61a7-4ced-8750-850200d3fd61</t>
  </si>
  <si>
    <t>2fee292b-b3c7-405a-80b4-cce155162481</t>
  </si>
  <si>
    <t>ba02a633-2308-4f42-85ba-0dbb5d4d6e75</t>
  </si>
  <si>
    <t>169b311d-adda-4288-bf55-17e13cdf3c64</t>
  </si>
  <si>
    <t>3ba17b97-5e9d-435d-a673-7c44c5e8f699</t>
  </si>
  <si>
    <t>ac8ffd22-f36d-4357-8732-004fa08bfbcf</t>
  </si>
  <si>
    <t>1aa95936-18ba-4c12-9057-e86bf7d366ed</t>
  </si>
  <si>
    <t>de4cd6a7-bce2-4e08-8a0e-d1f19e36ad96</t>
  </si>
  <si>
    <t>9798b3ee-9dd9-47a4-807f-d22902c47b68</t>
  </si>
  <si>
    <t>0be815ff-2a63-4261-8fdb-be579d67b1ab</t>
  </si>
  <si>
    <t>839f57b1-c598-460d-b5f7-996ae26c3ea9</t>
  </si>
  <si>
    <t>565ac3ed-1477-4646-a00f-5584fe53b694</t>
  </si>
  <si>
    <t>bda5f5f9-721e-465b-be28-2d96c3bc8321</t>
  </si>
  <si>
    <t>9f7c3a22-e8e1-414a-b988-d1a00fb8b37c</t>
  </si>
  <si>
    <t>9617ff3e-b4b9-4b87-8e20-8bb9d91ec99c</t>
  </si>
  <si>
    <t>b7ea8f60-6cef-446f-a27d-4093177e4aa8</t>
  </si>
  <si>
    <t>bed9e3b1-d162-45d5-a5e7-b3f139d60ebd</t>
  </si>
  <si>
    <t>ded035b4-8125-4154-85b4-e960898e76d9</t>
  </si>
  <si>
    <t>13503fbc-faab-47ba-b9d8-30e2f4b5754f</t>
  </si>
  <si>
    <t>3d91c270-5482-45be-9065-818bc50ac84d</t>
  </si>
  <si>
    <t>b9a2c628-b410-4883-88c7-151caab88753</t>
  </si>
  <si>
    <t>cdb0d3ee-7a19-4a6f-8a10-4afc958786c5</t>
  </si>
  <si>
    <t>44ec4633-4e68-45d0-972b-4778a1606945</t>
  </si>
  <si>
    <t>65e3c0b0-2fcc-4fc7-86bf-e6b5fb2a8ee6</t>
  </si>
  <si>
    <t>1ca6af9b-327b-4c89-95ef-bb44668baf6f</t>
  </si>
  <si>
    <t>46ffb501-1fc5-448f-a1e1-9456d01a2cee</t>
  </si>
  <si>
    <t>bd40eb0c-0a54-46ce-83b3-11f281127a57</t>
  </si>
  <si>
    <t>30e4c49f-afcb-4921-b2f7-8f72ac866631</t>
  </si>
  <si>
    <t>7deba08a-efdc-48b5-bbd7-55861c062374</t>
  </si>
  <si>
    <t>2df0fb77-00c6-493a-b64f-fc4a41490c70</t>
  </si>
  <si>
    <t>f230fe98-49d6-494d-9836-ddb85a4948fa</t>
  </si>
  <si>
    <t>ed1ae48e-17fe-4fc4-9f2e-8bb31dba471d</t>
  </si>
  <si>
    <t>8d249dc6-d4c7-4d00-97b1-cdab62d4cb52</t>
  </si>
  <si>
    <t>b207ded4-8e6f-4784-909b-f588d7ebee13</t>
  </si>
  <si>
    <t>6de62990-a60a-492b-a258-7aeed521183b</t>
  </si>
  <si>
    <t>c84f529d-4a49-4afd-a813-d048deebbb8e</t>
  </si>
  <si>
    <t>b46dc920-d957-11ee-8e34-8b11b50df496</t>
  </si>
  <si>
    <t>49407fd0-d957-11ee-8e34-8b11b50df496</t>
  </si>
  <si>
    <t>0c00e148-8fe2-4b05-99dc-fff43cf00861</t>
  </si>
  <si>
    <t>20b8eb79-d3bc-4a57-88d2-eacfa9bf7bc6</t>
  </si>
  <si>
    <t>62f147c9-9a34-4e7e-90c1-2e8179036302</t>
  </si>
  <si>
    <t>2c8ed3e4-64f8-4392-b4ad-bc5127570a80</t>
  </si>
  <si>
    <t>2401fa5a-4b97-47e1-8307-0fba8a71e655</t>
  </si>
  <si>
    <t>577782e2-9eb4-4ad2-ab8b-51f493e586e0</t>
  </si>
  <si>
    <t>fdeaf4a2-2723-458d-b77d-a974043ded57</t>
  </si>
  <si>
    <t>3dbc0967-cced-4f0c-92e7-4e6bf20df2c8</t>
  </si>
  <si>
    <t>a8705bf5-5702-4e4a-8590-38c3565a9c72</t>
  </si>
  <si>
    <t>fb568367-31c6-41af-8e3d-3ff7e5c7b036</t>
  </si>
  <si>
    <t>60715cb0-d5ab-11ee-bc34-7bdadb8024dc</t>
  </si>
  <si>
    <t>1a1df980-d5ab-11ee-bc34-7bdadb8024dc</t>
  </si>
  <si>
    <t>df258a00-d5aa-11ee-bc34-7bdadb8024dc</t>
  </si>
  <si>
    <t>a92e3b40-d5aa-11ee-bc34-7bdadb8024dc</t>
  </si>
  <si>
    <t>5e013c80-d5aa-11ee-bc34-7bdadb8024dc</t>
  </si>
  <si>
    <t>20cdaa10-d5aa-11ee-bc34-7bdadb8024dc</t>
  </si>
  <si>
    <t>d4540710-d5a9-11ee-bc34-7bdadb8024dc</t>
  </si>
  <si>
    <t>95e18c00-d5a9-11ee-bc34-7bdadb8024dc</t>
  </si>
  <si>
    <t>4be237d0-d5a9-11ee-bc34-7bdadb8024dc</t>
  </si>
  <si>
    <t>0338fdc0-d5a9-11ee-bc34-7bdadb8024dc</t>
  </si>
  <si>
    <t>966b4ae0-d5a8-11ee-bc34-7bdadb8024dc</t>
  </si>
  <si>
    <t>519734b0-d5a8-11ee-bc34-7bdadb8024dc</t>
  </si>
  <si>
    <t>08841540-d5a8-11ee-bc34-7bdadb8024dc</t>
  </si>
  <si>
    <t>a975abe0-d5a7-11ee-bc34-7bdadb8024dc</t>
  </si>
  <si>
    <t>66671370-d5a7-11ee-bc34-7bdadb8024dc</t>
  </si>
  <si>
    <t>9ba82700-d5a6-11ee-bc34-7bdadb8024dc</t>
  </si>
  <si>
    <t>d9a1845a-7222-4309-bfab-e3aba97d6afa</t>
  </si>
  <si>
    <t>dd51aa5b-e12f-4825-a7ab-fb8d910fa325</t>
  </si>
  <si>
    <t>2416173c-fbb3-4f37-ae74-d80421a2333a</t>
  </si>
  <si>
    <t>4a95a8a6-3a2e-4d09-883a-3c530ba4157c</t>
  </si>
  <si>
    <t>f48c5467-758e-4e34-8e50-a3175ded4f2b</t>
  </si>
  <si>
    <t>0419e702-981f-4827-b63f-ee2c2bf5064d</t>
  </si>
  <si>
    <t>2d4d1478-befb-4a4f-808c-34da077f0b23</t>
  </si>
  <si>
    <t>d26d4355-cb45-433b-933d-d9578e0b8c58</t>
  </si>
  <si>
    <t>e42b07d0-d34a-11ee-97ac-d1a83362c118</t>
  </si>
  <si>
    <t>234c2a2d-03c4-469c-8a9c-4defdf0b925b</t>
  </si>
  <si>
    <t>1c7b6c3d-6853-42d3-9eb5-d809dec2699e</t>
  </si>
  <si>
    <t>840c890f-df5c-4b01-bcfe-48f62d6b6bc3</t>
  </si>
  <si>
    <t>edd9062f-e89f-4afd-8ceb-a751b5975dd1</t>
  </si>
  <si>
    <t>860a3222-19af-45ab-8f5e-5624b1bc9476</t>
  </si>
  <si>
    <t>9da144c6-4e5c-4f20-85fe-673c5c4c717d</t>
  </si>
  <si>
    <t>ec7601ab-1d32-4b34-ada5-a8c683258007</t>
  </si>
  <si>
    <t>721d3b49-c888-4462-8452-6cda71887536</t>
  </si>
  <si>
    <t>8ea35b85-6f55-4acd-89a1-78f3e2dbeb7e</t>
  </si>
  <si>
    <t>8afa47c1-1cca-420b-a449-12b438dea653</t>
  </si>
  <si>
    <t>6955b0dd-83fb-4a6a-b668-790ff4ee06ce</t>
  </si>
  <si>
    <t>272a0d75-d01c-4630-87f9-5da0284705dc</t>
  </si>
  <si>
    <t>cea151d0-f5a4-4a32-98c9-3cbd6ed38688</t>
  </si>
  <si>
    <t>bdeb83c6-8cec-45f0-b06c-b7fa804926ca</t>
  </si>
  <si>
    <t>517dfd9a-a01a-4f8d-8f3d-84664c2adb78</t>
  </si>
  <si>
    <t>008e9bd5-a5b5-4f3e-8884-e08d2ab65a5e</t>
  </si>
  <si>
    <t>d2017734-8ed9-4009-85a4-6fda59e7e00e</t>
  </si>
  <si>
    <t>db9d0262-7df7-427a-a7ef-82437162a2ae</t>
  </si>
  <si>
    <t>a1bf6012-fc72-4405-83bf-608d00d5ad54</t>
  </si>
  <si>
    <t>f5fa4ac3-5a71-46a9-a902-46c719e53ed0</t>
  </si>
  <si>
    <t>6e948500-fdcc-4a41-80f1-71fe7e4f248e</t>
  </si>
  <si>
    <t>c6c8346f-7f60-4068-965d-489874f57a06</t>
  </si>
  <si>
    <t>106bc49b-dda1-4e7a-aff2-408b472b7b0a</t>
  </si>
  <si>
    <t>da3babce-7f8c-4716-81cd-dd2110983e85</t>
  </si>
  <si>
    <t>33947668-8db2-4fa5-880a-7ac5dc54e144</t>
  </si>
  <si>
    <t>bad5ec9c-dedd-4f40-8fdf-8016b7225104</t>
  </si>
  <si>
    <t>8a39be60-faf9-4d3e-b176-2d7be4e4b7c5</t>
  </si>
  <si>
    <t>4fc763c2-2560-4940-b3e8-cede1417adae</t>
  </si>
  <si>
    <t>f531ffe5-1e79-4878-8deb-a4a237cadd3d</t>
  </si>
  <si>
    <t>5c189f9e-6a52-4adb-b4c3-05919d718ebe</t>
  </si>
  <si>
    <t>512d19d3-e5b0-4b88-9b79-07c95aeb8abf</t>
  </si>
  <si>
    <t>8e65e7e1-0d27-4ed5-9859-22f4208fbce7</t>
  </si>
  <si>
    <t>89b020eb-9850-4e02-b1a5-dfa807d88db6</t>
  </si>
  <si>
    <t>7b50dcae-58de-4ae7-bfa9-8dcf7eebcde5</t>
  </si>
  <si>
    <t>8e754c9d-ddfa-49f8-aed0-404683f2f46a</t>
  </si>
  <si>
    <t>bc51df4d-51cd-4135-b35e-d69c03907387</t>
  </si>
  <si>
    <t>73a3b1c4-22c9-4b60-b2d9-3725d5a8510a</t>
  </si>
  <si>
    <t>cb3d0d1e-3b66-4c8b-9951-1d6625fbc1ed</t>
  </si>
  <si>
    <t>50d42c4e-f07c-4826-b418-ccdd4ebd6efc</t>
  </si>
  <si>
    <t>553b88c7-791a-4f22-a44e-0dab9ebd4fa2</t>
  </si>
  <si>
    <t>6eb99272-232d-41dc-aa30-e8e46377afc8</t>
  </si>
  <si>
    <t>743afbfa-d3ed-4428-9c0a-8cfda283b8ee</t>
  </si>
  <si>
    <t>34dfadf2-e9df-4c55-8e3c-c8c60cd15121</t>
  </si>
  <si>
    <t>2cc9f2f1-31ac-4c5b-a1b0-af9d93496b58</t>
  </si>
  <si>
    <t>30a7166b-70c2-4355-9927-16d17da63bf0</t>
  </si>
  <si>
    <t>1ae702b3-279c-4f17-b7d7-dad7833a064d</t>
  </si>
  <si>
    <t>cd209a8a-321e-472f-87d2-28676a3302bc</t>
  </si>
  <si>
    <t>219851c4-c764-4cef-a766-2d5ce1c6e42f</t>
  </si>
  <si>
    <t>0c059e2a-8eca-4bea-bab3-4035f4eb5976</t>
  </si>
  <si>
    <t>4ac49b0e-79b3-4099-8069-3362bd25e2a6</t>
  </si>
  <si>
    <t>37e00742-b3ef-4391-a89e-31beefcbc8f0</t>
  </si>
  <si>
    <t>95ccdcb4-97ae-4abb-8c53-769e7adc3efb</t>
  </si>
  <si>
    <t>1d5de988-062a-448d-a263-d80a9e29b3a3</t>
  </si>
  <si>
    <t>87ee9d25-649b-4ca1-b380-485b438e2754</t>
  </si>
  <si>
    <t>f7e6466d-2cc7-42c7-a488-019dc534f389</t>
  </si>
  <si>
    <t>19200398-892b-433d-8523-97ebdfa8b885</t>
  </si>
  <si>
    <t>191a898a-b094-44db-93d4-06bbab195680</t>
  </si>
  <si>
    <t>dc762e79-4903-48d1-befe-ff8ffb5ffe46</t>
  </si>
  <si>
    <t>53d3bee4-eaa7-4b39-9a74-287568c8791c</t>
  </si>
  <si>
    <t>90e33a6e-404d-4350-b29c-bef2affe57bd</t>
  </si>
  <si>
    <t>28c41ef5-0a8b-47dc-adaf-f03a7f1af7fe</t>
  </si>
  <si>
    <t>d68075bd-b85b-4933-ba20-52488cbd8f90</t>
  </si>
  <si>
    <t>82c77a1f-b58a-48f0-9765-94e4ef5482e0</t>
  </si>
  <si>
    <t>a1677aaf-c40e-4ded-a0a2-c7d35ba17984</t>
  </si>
  <si>
    <t>e1b79719-f2d7-4532-b473-7d8a74b07188</t>
  </si>
  <si>
    <t>6012aa92-9c36-446f-a743-5902430a673a</t>
  </si>
  <si>
    <t>d0d97f7a-d3f3-48f4-aaaa-dbac200fe775</t>
  </si>
  <si>
    <t>d29e3793-44cc-42b9-8b4e-eaf40d743062</t>
  </si>
  <si>
    <t>735e4b06-eff3-4d8f-87bb-9b7d85d5c1a8</t>
  </si>
  <si>
    <t>6444e11c-237d-47cc-b6c8-1f397ccee063</t>
  </si>
  <si>
    <t>7bb6cac1-6026-4fad-b3bd-6361383e8df2</t>
  </si>
  <si>
    <t>d10d708b-dda6-4516-881c-82c6ed91460b</t>
  </si>
  <si>
    <t>5b45c7de-5132-4d6d-b32f-2a11f54be682</t>
  </si>
  <si>
    <t>93f43250-c2ce-11ee-a880-59195475c978</t>
  </si>
  <si>
    <t>236a88e0-c2ce-11ee-a880-59195475c978</t>
  </si>
  <si>
    <t>4e66531e-5fea-414e-963b-db17a5d50127</t>
  </si>
  <si>
    <t>21ceb11c-6b65-494f-8ef8-6885f557f1f8</t>
  </si>
  <si>
    <t>3b130c5d-5a22-4c18-8f61-e9e029732126</t>
  </si>
  <si>
    <t>fe9a51d6-2e5f-47c8-9529-be0d3ecaaebd</t>
  </si>
  <si>
    <t>c71ec141-40ad-43e7-b140-312ff571503e</t>
  </si>
  <si>
    <t>18bfd1d6-bd72-447f-a0bd-6a1924c7b611</t>
  </si>
  <si>
    <t>34cefa65-60e3-43fc-a765-8b6c3d8e632d</t>
  </si>
  <si>
    <t>b8ce4b7f-ea23-425a-bb27-9ba495f74f23</t>
  </si>
  <si>
    <t>cde18298-ab3b-4622-aa57-551161bcc924</t>
  </si>
  <si>
    <t>d2a757b6-70ca-49f1-bca6-7e155876e922</t>
  </si>
  <si>
    <t>3af9140d-883c-4385-946a-760eb903ece5</t>
  </si>
  <si>
    <t>28ddec3d-18b9-4eb5-8082-e64718993631</t>
  </si>
  <si>
    <t>e92e9643-1a60-4d52-a735-1980660d96df</t>
  </si>
  <si>
    <t>c59177ea-ea1e-43b0-a39b-486ca9a79297</t>
  </si>
  <si>
    <t>6dab7b82-ceaa-4340-be37-adc242b7b38d</t>
  </si>
  <si>
    <t>46a08c95-64cf-4827-b125-21a300209d58</t>
  </si>
  <si>
    <t>9160bce0-30dd-45e4-9a30-367c46e3f914</t>
  </si>
  <si>
    <t>ca765ae9-082b-4baf-9b3b-d852ee466a85</t>
  </si>
  <si>
    <t>c0224e96-428e-40fe-bb46-09a95d81b5da</t>
  </si>
  <si>
    <t>dbd39613-7f9c-43c6-87ee-cb5cacf4b718</t>
  </si>
  <si>
    <t>0da362ef-7dfa-4695-94b6-0cd7123f8bb0</t>
  </si>
  <si>
    <t>99f4e3d2-ddb9-479e-a297-cad7e96267a4</t>
  </si>
  <si>
    <t>5f9fb9d2-b74f-4f32-827d-c976815401c0</t>
  </si>
  <si>
    <t>8752acca-6a53-485d-a856-2c63b7a5e341</t>
  </si>
  <si>
    <t>759068f4-afcb-4793-8e8b-9c8e614d59f7</t>
  </si>
  <si>
    <t>beb995be-7d75-468d-bf84-7113319a6f26</t>
  </si>
  <si>
    <t>f586dcc3-da35-4dc5-9dc3-740207c8c405</t>
  </si>
  <si>
    <t>4c979640-409b-4035-9323-0c856a8b70f8</t>
  </si>
  <si>
    <t>8d7d51b2-15ce-475c-ae7d-a29bd677da97</t>
  </si>
  <si>
    <t>c7920ee1-5ac0-47fc-a4b7-3d39a30f97d3</t>
  </si>
  <si>
    <t>81d8cf21-49bc-465a-b954-44003cfc7dfa</t>
  </si>
  <si>
    <t>de4abaa5-f623-4c60-8c4d-c3bdeceba2c5</t>
  </si>
  <si>
    <t>c2200985-df1b-4d45-b9fc-c68cfd4123af</t>
  </si>
  <si>
    <t>1f574aec-52f5-43d0-8934-22ff79f0808b</t>
  </si>
  <si>
    <t>57ab01b0-ae21-4b3d-9f11-b6426a7e68c5</t>
  </si>
  <si>
    <t>cf4cd5e8-f8bc-4b87-89f7-711579cf95c3</t>
  </si>
  <si>
    <t>054fb488-4bdf-4b39-93ec-c39ec0ed1ddd</t>
  </si>
  <si>
    <t>d094226a-4b44-405d-8d82-749d822147d0</t>
  </si>
  <si>
    <t>99119816-e4ed-4300-a884-da2d6b1d2c2a</t>
  </si>
  <si>
    <t>d9ca1429-4b6b-4938-8ec9-b39b4756ade5</t>
  </si>
  <si>
    <t>90405f01-247c-49bc-ba43-9633d0a7b2ec</t>
  </si>
  <si>
    <t>df0e05ba-96e7-4b25-b040-1fd0da26e18a</t>
  </si>
  <si>
    <t>432be4ed-73e4-417c-8896-9cb43dbda9d8</t>
  </si>
  <si>
    <t>a6965d7f-fc8f-46fc-b7b3-d90c1effa274</t>
  </si>
  <si>
    <t>92c29529-a704-4a95-8a7d-8d7551c7da81</t>
  </si>
  <si>
    <t>f2f37a55-e682-4bea-874d-00b86245beef</t>
  </si>
  <si>
    <t>da80b7ed-22a8-40ec-83e8-22991936fad6</t>
  </si>
  <si>
    <t>6ca7bf78-c341-4438-87d0-8482c2bf144a</t>
  </si>
  <si>
    <t>190a0496-7744-4544-9aad-27cfaeb59cb3</t>
  </si>
  <si>
    <t>bcc05ac4-de12-468b-935a-52d717737127</t>
  </si>
  <si>
    <t>a7476504-7fc6-4d0c-90ae-a759f36c0134</t>
  </si>
  <si>
    <t>870699d2-2f19-4a54-8ae3-55797a9c8ec3</t>
  </si>
  <si>
    <t>d8919322-09fd-45e6-b804-4e2ab048cf8b</t>
  </si>
  <si>
    <t>5b084c83-a71d-42c7-9a55-56dc390cd169</t>
  </si>
  <si>
    <t>8af81e3d-dd23-4206-afcd-ae4622dff424</t>
  </si>
  <si>
    <t>71a66781-6df3-497f-bf69-1b546ed98c85</t>
  </si>
  <si>
    <t>9bf27c1c-b64d-4868-8938-703196dcb979</t>
  </si>
  <si>
    <t>31739bce-9be5-4035-9f3f-0794cecfff5e</t>
  </si>
  <si>
    <t>243c68e1-be2b-4696-82be-c9b72c802fa2</t>
  </si>
  <si>
    <t>2f2b42f7-dada-4659-9342-2ecc1955e576</t>
  </si>
  <si>
    <t>dc9bd81c-a801-4135-b6f5-78eb4d39a259</t>
  </si>
  <si>
    <t>9c395c72-7b9f-45c8-a40f-ba1d627d4e27</t>
  </si>
  <si>
    <t>ac49420d-4876-4454-a84e-d174b813bc54</t>
  </si>
  <si>
    <t>03017726-cc5e-4ecb-b74c-f131f98e567f</t>
  </si>
  <si>
    <t>115cf91d-595b-4a77-869f-a33347325a95</t>
  </si>
  <si>
    <t>8050d985-c27e-4a63-ba12-515a6673f418</t>
  </si>
  <si>
    <t>adaccdcb-75ce-42ab-9be7-39ce8509104b</t>
  </si>
  <si>
    <t>30c9788a-0cfa-453e-a15a-14cd16c788fb</t>
  </si>
  <si>
    <t>b1b90b9b-a8fa-4432-bdd1-2297cf2085bb</t>
  </si>
  <si>
    <t>c1784267-217a-4727-b0bd-e684876e1bb1</t>
  </si>
  <si>
    <t>eb7b2e94-cf61-4e37-bd0e-d95e051c6d34</t>
  </si>
  <si>
    <t>1a0b108f-af6f-47fc-9848-a92c2a6f9ba4</t>
  </si>
  <si>
    <t>a0961b92-331f-4d1f-a340-3dc44c0c1166</t>
  </si>
  <si>
    <t>587966fd-9ee0-4102-8560-bda7a42b7f7f</t>
  </si>
  <si>
    <t>c88b34d3-a7c1-449e-af5b-99446a1d0e7e</t>
  </si>
  <si>
    <t>3f550df0-ceb0-499b-bb07-f020a752940a</t>
  </si>
  <si>
    <t>383776a5-186e-4210-b1ff-6394571d9505</t>
  </si>
  <si>
    <t>cc2e5a8d-6a98-42cb-860b-d4199b4d821c</t>
  </si>
  <si>
    <t>5aac40f0-d010-40fa-bf3f-b4ad987322aa</t>
  </si>
  <si>
    <t>9b6b4334-c89e-4664-9db8-9e6cee39c634</t>
  </si>
  <si>
    <t>f9020a2e-dc95-4e6b-a7cf-9c24856b4d26</t>
  </si>
  <si>
    <t>f4317780-a947-45da-ba54-9f2a7594efbd</t>
  </si>
  <si>
    <t>b8a9a21d-e4fe-4ac8-89bf-26cc3d249e55</t>
  </si>
  <si>
    <t>624b0419-e5d1-4273-a8a1-4fb6c53faf7f</t>
  </si>
  <si>
    <t>6671141a-3d3a-4fb9-947c-6bba558f488e</t>
  </si>
  <si>
    <t>dccf02f0-89e9-40f8-b04e-4cd151120355</t>
  </si>
  <si>
    <t>5fa119f9-f9be-43f3-ac3d-327b89029709</t>
  </si>
  <si>
    <t>a2b8e44a-28ec-445e-a446-b20eee260f60</t>
  </si>
  <si>
    <t>10e79842-dbcb-4d36-9b58-7af6863111d3</t>
  </si>
  <si>
    <t>130c4864-5896-4f84-b4f2-32bc27872af6</t>
  </si>
  <si>
    <t>68e8fa00-ef10-41df-93c5-903ce68cbc80</t>
  </si>
  <si>
    <t>27916f8d-04c2-40f4-bfc7-163f2dd1da6b</t>
  </si>
  <si>
    <t>143ad04a-01b3-4d32-a673-90f03ed4fc5b</t>
  </si>
  <si>
    <t>0d4f454f-b435-407a-b977-aeda83f3e985</t>
  </si>
  <si>
    <t>7c6b7589-c455-4cd6-809e-200b8e70e79a</t>
  </si>
  <si>
    <t>394d487e-49c6-475a-bf63-2ec9d997722f</t>
  </si>
  <si>
    <t>78826b7e-c7f2-4896-afb6-774de138c34b</t>
  </si>
  <si>
    <t>458049f2-7150-4a50-8d6f-53e3f75a96f8</t>
  </si>
  <si>
    <t>696cbad9-0a47-491a-9d65-6c9c81418429</t>
  </si>
  <si>
    <t>6c13ec04-810d-4aba-b307-e10674926059</t>
  </si>
  <si>
    <t>b659bf6f-85a0-4f42-9370-c43ff6071239</t>
  </si>
  <si>
    <t>26b01a1d-2012-4298-9aed-1288e2134e46</t>
  </si>
  <si>
    <t>47aec998-1e8b-475e-ac61-7b616990a281</t>
  </si>
  <si>
    <t>dcbd175a-6538-4f5c-9a53-53f68bd3a9f1</t>
  </si>
  <si>
    <t>d264a693-f51c-452d-959a-87929c1fe13d</t>
  </si>
  <si>
    <t>b4f0a4eb-a3ab-4ec6-9187-9120dbc8e7fa</t>
  </si>
  <si>
    <t>72fc7fda-5867-47d7-878c-3c8bfde5cab9</t>
  </si>
  <si>
    <t>c0017d5b-205c-4065-94de-873d1cc85c13</t>
  </si>
  <si>
    <t>494332c2-53e6-475f-9f86-7b8e6d5fcfb3</t>
  </si>
  <si>
    <t>201e0360-d9b9-4bc8-9e06-9d9c74adce20</t>
  </si>
  <si>
    <t>1623c9b5-3ef3-4714-b93e-936e2dadd69e</t>
  </si>
  <si>
    <t>ca978dfa-e396-4ecd-b82b-960885370cc4</t>
  </si>
  <si>
    <t>ffc6aff0-3f65-4ea8-ad2c-430ef18f2adc</t>
  </si>
  <si>
    <t>4a15214a-a5ec-4220-8a45-68db678d1012</t>
  </si>
  <si>
    <t>5d9b2941-b82d-442c-9413-4127f0e2ba0c</t>
  </si>
  <si>
    <t>b8e2d122-ae9b-436f-a86a-2f7d6271823b</t>
  </si>
  <si>
    <t>337b3f1d-6c2c-4985-ade3-fdce87ef6aa4</t>
  </si>
  <si>
    <t>391d5add-c9e5-4ff9-8134-ec86ac0e6302</t>
  </si>
  <si>
    <t>a064518e-9cee-4efd-8998-602626c83ebd</t>
  </si>
  <si>
    <t>fca199ee-c7a5-400b-8542-77dfa21d85c0</t>
  </si>
  <si>
    <t>e12bb254-4f03-4df3-b62f-d0b8782d070f</t>
  </si>
  <si>
    <t>8e337339-eecd-4685-8bf2-a085f6dc9801</t>
  </si>
  <si>
    <t>a6c8ac4c-0605-411f-b35e-71f8f8254ab0</t>
  </si>
  <si>
    <t>0464ad52-0271-41bb-9dab-03f30e55a852</t>
  </si>
  <si>
    <t>27e21a5b-4d52-4538-8d53-dd5761317e21</t>
  </si>
  <si>
    <t>cb12f430-3801-427d-93fc-bf46147eabff</t>
  </si>
  <si>
    <t>dbfe05a5-494d-4a1b-b1eb-30dc7d3d0e7e</t>
  </si>
  <si>
    <t>daae94f3-2708-4192-a7c3-2e6d8976587a</t>
  </si>
  <si>
    <t>e0b36504-61ec-40ed-90c3-ce6bf2abed7d</t>
  </si>
  <si>
    <t>215f5837-a339-46f7-89e9-b8874652120e</t>
  </si>
  <si>
    <t>d9731765-dca0-4b5f-9350-bb7760e87df4</t>
  </si>
  <si>
    <t>0002cd55-161b-49c4-b066-318afa8b3b46</t>
  </si>
  <si>
    <t>0b021b97-9d43-4ef8-a3fa-d1ff192ea184</t>
  </si>
  <si>
    <t>ceb9be50-0616-4d1d-af4d-89c6ea72fe8e</t>
  </si>
  <si>
    <t>12350ba8-6e64-4500-90a8-48a2a6f6a5b1</t>
  </si>
  <si>
    <t>63d664c9-744b-48e7-a420-204e44133d89</t>
  </si>
  <si>
    <t>00c6b1c0-5fc1-4c89-b7bd-1952cf466e47</t>
  </si>
  <si>
    <t>8b1a5760-d38c-4d0b-afab-7879eaff055b</t>
  </si>
  <si>
    <t>1356f307-582f-4c81-84b7-e9546325680f</t>
  </si>
  <si>
    <t>e1abf9d7-4884-4a50-9dd9-b935563ca07f</t>
  </si>
  <si>
    <t>8b0d7c1a-0fc7-4dc5-91c2-3bb5d83ba62d</t>
  </si>
  <si>
    <t>756cdf58-bc67-43cd-a211-eb3d9448cf04</t>
  </si>
  <si>
    <t>1b805132-3573-496c-8b3c-910181a08f22</t>
  </si>
  <si>
    <t>4f7816e0-0daa-4109-95d3-62d006ed352f</t>
  </si>
  <si>
    <t>9008626e-9af1-477d-b981-a2102e0a8598</t>
  </si>
  <si>
    <t>c237c586-c0cf-480a-b309-4e3ceebfaf24</t>
  </si>
  <si>
    <t>94b1240e-b71e-4971-905b-812a3b5f2dae</t>
  </si>
  <si>
    <t>53c96d42-5bbe-4fa8-8d5c-fa67f4e447e1</t>
  </si>
  <si>
    <t>3dbef070-22d5-40fb-b68e-41a1833f3e4e</t>
  </si>
  <si>
    <t>60f36add-ea4b-4bb6-bb93-78e6a5aaed71</t>
  </si>
  <si>
    <t>dcad51ed-7e2d-4870-90b8-9baf5a6501c3</t>
  </si>
  <si>
    <t>90227f33-1e30-4e86-b50f-b6e6b071d8ce</t>
  </si>
  <si>
    <t>8fff187f-bcf1-471c-af96-d00c00e8e1e7</t>
  </si>
  <si>
    <t>c8616238-dab5-4aff-a4d7-6816734a772e</t>
  </si>
  <si>
    <t>33ad9768-6294-4062-9d15-093a44f585f0</t>
  </si>
  <si>
    <t>d98f4eca-1824-4f76-b0cb-8cf16d73e032</t>
  </si>
  <si>
    <t>391c9c70-8794-11ee-914d-6b49437b7337</t>
  </si>
  <si>
    <t>ddf41fd0-8793-11ee-914d-6b49437b7337</t>
  </si>
  <si>
    <t>1f335672-8451-4b38-a7a4-7977d44c7eda</t>
  </si>
  <si>
    <t>6cb68667-2ffe-495f-a697-e3a017a395c0</t>
  </si>
  <si>
    <t>72696092-20b4-47e6-b6ed-5dc874d3f5ff</t>
  </si>
  <si>
    <t>da0474af-e15b-43de-a655-c91d6d6cf338</t>
  </si>
  <si>
    <t>3029cea9-cca6-456a-8c63-e8189adc38e5</t>
  </si>
  <si>
    <t>30eeb99c-dc1d-4c87-868a-57690e4ef7a0</t>
  </si>
  <si>
    <t>08d7d7ca-19e3-4ab3-8482-e62906f2aa1c</t>
  </si>
  <si>
    <t>c217b04a-ea2f-442b-ae8e-c9954c0163e6</t>
  </si>
  <si>
    <t>b45fca82-8a42-4e47-81f5-01ba85913f4a</t>
  </si>
  <si>
    <t>5df15fd3-83c2-4908-b277-166e7e4fd608</t>
  </si>
  <si>
    <t>633d5253-c5a1-4044-85f0-4af7a892150d</t>
  </si>
  <si>
    <t>988ff23c-d3dd-4d09-a0cd-1c81a501deef</t>
  </si>
  <si>
    <t>14936ade-32e5-4893-bfd0-3f548a0fc805</t>
  </si>
  <si>
    <t>7812fd5e-977e-491b-87ec-7e153f110769</t>
  </si>
  <si>
    <t>41df3fbe-236b-4dd0-bb57-f5ac9963f060</t>
  </si>
  <si>
    <t>f282b36f-7b7d-42b4-adaf-4ef6802b5aa6</t>
  </si>
  <si>
    <t>c7290f07-1070-43a7-b434-27d8c0788462</t>
  </si>
  <si>
    <t>b0f72158-ec32-4f28-8179-c163b971bde1</t>
  </si>
  <si>
    <t>ff580d46-1b49-4a24-820a-3699a3e913f4</t>
  </si>
  <si>
    <t>17164a2c-dc08-422b-a891-ae2d29b1bcb7</t>
  </si>
  <si>
    <t>253ceb35-5f3e-473f-8be2-414873c389bc</t>
  </si>
  <si>
    <t>233c0ac5-d98b-402c-9316-618f3f43793a</t>
  </si>
  <si>
    <t>16521a20-cba5-4c5e-b3e5-e4fe6b7e728a</t>
  </si>
  <si>
    <t>d4ec5169-2c4f-474a-9a7b-d3b75989cdda</t>
  </si>
  <si>
    <t>59bfb2e7-e506-4569-904b-2c35835d25ad</t>
  </si>
  <si>
    <t>de8ca881-ffbc-4ca2-babe-9eaa9bf7fc32</t>
  </si>
  <si>
    <t>a5557349-697c-41a3-aa31-150475eb0be9</t>
  </si>
  <si>
    <t>a742d9c3-c5e7-48e5-8916-6536bd256c38</t>
  </si>
  <si>
    <t>122e0892-aee7-489b-a5f1-e6009a4c540d</t>
  </si>
  <si>
    <t>e0d76c7c-4219-4f47-b880-25d50120bc02</t>
  </si>
  <si>
    <t>da686336-e3e4-4d27-9229-08aa4e1ea5bc</t>
  </si>
  <si>
    <t>4cadf966-51ae-4bc8-801b-87bae5888a32</t>
  </si>
  <si>
    <t>4db7b3f7-7993-4cd0-b5dd-7717bc14ef96</t>
  </si>
  <si>
    <t>eb2117c9-e72a-40b3-aae7-99c136f2a6f3</t>
  </si>
  <si>
    <t>b18b967b-bf1d-4533-b271-baef20c3756c</t>
  </si>
  <si>
    <t>6322c611-ef17-419e-b07a-b1dcc787fd3d</t>
  </si>
  <si>
    <t>f6229593-01f2-45d6-b65a-230b3e483d31</t>
  </si>
  <si>
    <t>d8501db5-3e92-4956-ad7e-02dd54e77320</t>
  </si>
  <si>
    <t>897cabb8-10e8-4050-a7b2-537230639910</t>
  </si>
  <si>
    <t>e7a1f84c-5936-4fe3-8ccb-0df4246bf1f2</t>
  </si>
  <si>
    <t>96090f29-fd2e-4abf-8bda-18bf913fb5c7</t>
  </si>
  <si>
    <t>80b604d6-f670-4734-96ba-121858915922</t>
  </si>
  <si>
    <t>8fb016f8-c0ba-4ecb-a6e4-041eb50c7642</t>
  </si>
  <si>
    <t>1caf13cd-200a-4a23-ba1a-b4634aec5846</t>
  </si>
  <si>
    <t>3634b7ae-9aa1-4e30-9571-06d3265094e3</t>
  </si>
  <si>
    <t>2ba03779-8183-4ed4-a6b6-6597b7d51f73</t>
  </si>
  <si>
    <t>92c8867a-7ce2-4325-97f2-d83ba16f3296</t>
  </si>
  <si>
    <t>0bf43174-1b8c-4f1f-9cbb-793dc7c12935</t>
  </si>
  <si>
    <t>8e3dd0a6-e6cf-4ecb-b351-3799ee0da48b</t>
  </si>
  <si>
    <t>181fbd61-8a30-458c-8033-f4cecacb0342</t>
  </si>
  <si>
    <t>135ea84a-e4e8-42a8-842a-7df1eb7f746a</t>
  </si>
  <si>
    <t>9138680a-729a-4aab-9e06-c326493fa0e0</t>
  </si>
  <si>
    <t>81bedac2-d003-4550-a8a6-ceb144ce0707</t>
  </si>
  <si>
    <t>210526a8-153f-419d-a5a2-66a4042665c3</t>
  </si>
  <si>
    <t>8498d5bb-7e57-4e10-b44b-50fe752ea1d1</t>
  </si>
  <si>
    <t>d7063002-74ca-4dc6-ae2d-48c950474bcf</t>
  </si>
  <si>
    <t>48dd4415-8282-49c4-8be1-1873ac555b71</t>
  </si>
  <si>
    <t>afe4d8d4-03ce-4bb7-aa07-45d5ac9c741b</t>
  </si>
  <si>
    <t>f44c9eb5-bf6d-4f36-92e3-2e6a3a6bc30f</t>
  </si>
  <si>
    <t>e6e2689b-d66e-4b78-b856-41c3438e3c1f</t>
  </si>
  <si>
    <t>ebff985e-6d41-4f09-9277-f3a4fe08e97c</t>
  </si>
  <si>
    <t>d8905c11-d763-4b07-916d-6121063bf27d</t>
  </si>
  <si>
    <t>d9a9caac-8d2d-4efd-b326-b3498b47e6a8</t>
  </si>
  <si>
    <t>77da4ce6-896b-4de9-a57e-4445f78bfaa8</t>
  </si>
  <si>
    <t>4035417c-d232-446a-9792-b6004802cb60</t>
  </si>
  <si>
    <t>e5489438-fbb3-43bd-821a-9a7432397e7b</t>
  </si>
  <si>
    <t>c9125da6-fdbc-44eb-aca6-8b0b6f7ac88b</t>
  </si>
  <si>
    <t>785a0237-fc41-4757-bf46-7ef3f141146e</t>
  </si>
  <si>
    <t>efbb770e-c45d-4bf3-8c6e-f896cf34b8f0</t>
  </si>
  <si>
    <t>8c09afbc-b831-45ef-b78a-e7e93eb60496</t>
  </si>
  <si>
    <t>dfc672e4-8cf7-4838-af51-5f31049c330e</t>
  </si>
  <si>
    <t>90dce08d-c7f3-48df-bf96-1b07787b9f06</t>
  </si>
  <si>
    <t>8c82a6ed-a29e-4e8e-9c8c-c6551a01ba30</t>
  </si>
  <si>
    <t>f188a315-9a23-468e-a7cd-a199fb41d5e5</t>
  </si>
  <si>
    <t>3399fa21-f6b5-4935-b46b-0e1178d30cdf</t>
  </si>
  <si>
    <t>88a978e6-d8fb-4c5e-8596-9217373f256b</t>
  </si>
  <si>
    <t>9f9f1eaa-2ad7-47ac-8cdd-935dd9af0f6c</t>
  </si>
  <si>
    <t>43321018-eab5-46c6-abae-e3960f788a59</t>
  </si>
  <si>
    <t>61bf3403-5bbf-40a5-b116-1e742085808c</t>
  </si>
  <si>
    <t>375f367c-ce94-4904-9f51-95f00d5ce208</t>
  </si>
  <si>
    <t>78be5301-6322-4227-b2aa-52e7e068ec92</t>
  </si>
  <si>
    <t>9940d247-c159-4f66-b2cb-cc8c870f3d35</t>
  </si>
  <si>
    <t>0b0862c1-004c-496b-b3d1-43fc3a12b057</t>
  </si>
  <si>
    <t>a76600a3-5b04-4f75-8a13-8b898ea5626b</t>
  </si>
  <si>
    <t>8deb2403-cfd2-4330-959d-cca9b336fa07</t>
  </si>
  <si>
    <t>074a8767-e1b3-4ac2-af1c-ba16d9a758d2</t>
  </si>
  <si>
    <t>42cb884c-ccab-4725-b69c-b606fec57942</t>
  </si>
  <si>
    <t>806410c6-cab8-4bf5-a8f1-b46cea828067</t>
  </si>
  <si>
    <t>a63678f1-9874-467e-a5fd-ca5ae6072f1c</t>
  </si>
  <si>
    <t>420affce-963a-4dba-89c1-85a53205aa79</t>
  </si>
  <si>
    <t>cb69ec20-772c-4f22-b2f5-9e66d2fd9b93</t>
  </si>
  <si>
    <t>c7b8aee9-61a9-448f-a82a-5010cda6421b</t>
  </si>
  <si>
    <t>f20ea913-9b8f-4e6b-884d-3f349678f523</t>
  </si>
  <si>
    <t>d13bb693-ba94-4d86-bcb9-66ebe621057c</t>
  </si>
  <si>
    <t>962212ed-108d-41e0-a70e-37594a764c44</t>
  </si>
  <si>
    <t>e2f82034-8ee4-4122-91ce-c7d64c3a5591</t>
  </si>
  <si>
    <t>d2a0f436-1fb5-45c4-9eb7-2190a13390d2</t>
  </si>
  <si>
    <t>11f2d041-375d-4856-b733-44cd2786e013</t>
  </si>
  <si>
    <t>1c11bb32-ddf8-4c54-816f-e625d8887e3d</t>
  </si>
  <si>
    <t>f847e8b9-d500-46e6-a4bd-969804a98039</t>
  </si>
  <si>
    <t>43657ec0-b0a0-4485-b17f-d0199fba3b2b</t>
  </si>
  <si>
    <t>9be8c473-7a1f-4891-8ee0-2498d806ae79</t>
  </si>
  <si>
    <t>2ee360ba-cbe7-43f5-a3b5-59a49c43c793</t>
  </si>
  <si>
    <t>d5d336de-b7dc-46f9-8499-7f11d49e7999</t>
  </si>
  <si>
    <t>0d83ac4c-a020-42cf-a098-61d39c624f96</t>
  </si>
  <si>
    <t>8f28044a-e54b-4286-9137-48536f4b8882</t>
  </si>
  <si>
    <t>9cb85a1c-7267-49cd-8588-fc889f2c734b</t>
  </si>
  <si>
    <t>78fcc4e8-7025-4426-aa2d-8c263736fd78</t>
  </si>
  <si>
    <t>7040ea96-dbd0-437b-896f-18c654dff538</t>
  </si>
  <si>
    <t>6a96a3c3-3366-4e2f-b96b-93c4a1445c17</t>
  </si>
  <si>
    <t>3e565480-7013-4aec-97f1-4d8a7c44add1</t>
  </si>
  <si>
    <t>b8af2216-8351-4bc0-96b1-f9fdd2701644</t>
  </si>
  <si>
    <t>991eb9da-4b4f-4219-aca2-ace328ed78cc</t>
  </si>
  <si>
    <t>cc9edb2c-ddcf-4cbc-9a53-88cafda2642d</t>
  </si>
  <si>
    <t>ff92751b-bfdc-420a-a829-67658b39ede1</t>
  </si>
  <si>
    <t>01ec9871-3da1-4ff6-9a9b-805938c26770</t>
  </si>
  <si>
    <t>3e6083f7-549f-40c1-9686-551580a6a90d</t>
  </si>
  <si>
    <t>517dc94f-9488-4c62-83af-39092ae41367</t>
  </si>
  <si>
    <t>dc33693c-593c-4326-939e-b84448cad98f</t>
  </si>
  <si>
    <t>1f121ae4-9ec4-4998-aeec-fccc36d4ac54</t>
  </si>
  <si>
    <t>dc657287-9490-4f86-ba8c-420181d9799d</t>
  </si>
  <si>
    <t>f3fe33d0-6e6b-4631-b2eb-314106b412bf</t>
  </si>
  <si>
    <t>fd2ba0ca-ee20-4359-8446-f84ec7be2466</t>
  </si>
  <si>
    <t>7c6698dc-54aa-4e44-b992-035c2b2e007a</t>
  </si>
  <si>
    <t>46d07d91-e86e-4ca4-8b80-bf8e8a969a50</t>
  </si>
  <si>
    <t>5634ba26-37cd-42cc-a4e2-bf2cd32144e7</t>
  </si>
  <si>
    <t>9da0a316-c8ad-4c11-86f6-1228f59a0725</t>
  </si>
  <si>
    <t>159457e7-de9b-4ca1-accb-41acf8da0741</t>
  </si>
  <si>
    <t>67b272c8-cdfe-4791-923c-4ad2f96e0d15</t>
  </si>
  <si>
    <t>66a8bac9-97e6-4d80-8e16-5d0c5578223b</t>
  </si>
  <si>
    <t>69496ec7-e66d-4e43-927f-293cfc600852</t>
  </si>
  <si>
    <t>a8d5dfa9-564f-4bc2-b725-8326b886ea58</t>
  </si>
  <si>
    <t>584e557c-49ba-4917-9d69-4c1caccd5cfc</t>
  </si>
  <si>
    <t>19390f38-33bb-44c2-8bad-fa16a9c02fb1</t>
  </si>
  <si>
    <t>54d8c716-7b4b-4a10-b7af-134877ef1673</t>
  </si>
  <si>
    <t>829c7a9c-2a5c-4618-89c9-9536e47d0a96</t>
  </si>
  <si>
    <t>42262e65-3844-423a-b60c-94e77b94c258</t>
  </si>
  <si>
    <t>66595e15-931f-4649-aa03-7eb9b9b3a889</t>
  </si>
  <si>
    <t>a3a6f1f0-e6c5-4317-a4be-8ab3b2a782f7</t>
  </si>
  <si>
    <t>48f70567-cdaa-44a3-a9f3-48da21469e75</t>
  </si>
  <si>
    <t>109d5e15-a4e5-42b1-bbbb-cbfe613f4579</t>
  </si>
  <si>
    <t>f06abadc-cffb-46b2-90c4-bf62dab1d467</t>
  </si>
  <si>
    <t>4d4d0d95-a16a-4d7e-8a19-f630552ae11e</t>
  </si>
  <si>
    <t>c968c458-847b-4b97-9ea6-abb038149e0c</t>
  </si>
  <si>
    <t>1091ecb3-1dbe-4072-a76e-5ddf5f74e263</t>
  </si>
  <si>
    <t>5b9811d1-9c8b-4f79-b179-89a432ab89fd</t>
  </si>
  <si>
    <t>f67ab0de-4a10-4580-ae20-61aa4775ea05</t>
  </si>
  <si>
    <t>74104bdd-3d24-4c1f-8d70-1f3ad35ec2b5</t>
  </si>
  <si>
    <t>f9f101f9-5e04-4344-b569-6107169e2e5a</t>
  </si>
  <si>
    <t>049b517d-96ed-401c-83f3-bb85b4119f7f</t>
  </si>
  <si>
    <t>9dd01429-9938-4955-99d9-2b00ef8772fc</t>
  </si>
  <si>
    <t>6f8aac89-5e80-4193-97f4-940bd1cae727</t>
  </si>
  <si>
    <t>04705aae-02a3-4d7c-86bb-d289bf72f9a1</t>
  </si>
  <si>
    <t>e4c50923-d8fd-42f6-aa0c-d1283da57bb0</t>
  </si>
  <si>
    <t>044a1787-e7c8-4e65-8cf2-327cf840cc90</t>
  </si>
  <si>
    <t>fe878346-e8e5-4fe8-a2ef-2a96edd3ebc6</t>
  </si>
  <si>
    <t>c2bf2c75-7240-438e-9523-3069f22fd502</t>
  </si>
  <si>
    <t>1a5bf170-f294-4dab-a6aa-1b960f341b04</t>
  </si>
  <si>
    <t>500dc2ae-8a76-4294-aaf3-2c4ea95ce1a3</t>
  </si>
  <si>
    <t>a139e5f8-2568-4632-b572-20c71197e869</t>
  </si>
  <si>
    <t>1d7efa85-fdfa-4911-ac48-c2996ce570a9</t>
  </si>
  <si>
    <t>641baca1-69b1-46ce-8b68-ef76e812053f</t>
  </si>
  <si>
    <t>c289325c-e4ce-4658-a15b-58e53567bcd6</t>
  </si>
  <si>
    <t>cc4830d9-6616-4d87-bb68-f1cbd984807e</t>
  </si>
  <si>
    <t>87320fc3-299b-4125-8145-5b5b42cb3f39</t>
  </si>
  <si>
    <t>af14d607-196b-495a-bd78-6f0bb09961a7</t>
  </si>
  <si>
    <t>ed9be5c9-edb7-4ad0-ba12-eec02f3924e8</t>
  </si>
  <si>
    <t>22a4cc33-34d7-4fed-9c34-614c31334e0a</t>
  </si>
  <si>
    <t>3821b560-ac71-4948-8687-5c108d83cbde</t>
  </si>
  <si>
    <t>257f6381-de53-42a1-bab6-fe9f0b117aa0</t>
  </si>
  <si>
    <t>d7a20ea7-ff8e-4286-b6f7-1d7422c8dc96</t>
  </si>
  <si>
    <t>d69491ee-8874-4f31-aacd-9be8661e0b93</t>
  </si>
  <si>
    <t>b253354f-f980-4246-997b-3eaf71f60bed</t>
  </si>
  <si>
    <t>ff26a779-a533-4993-9a3d-843bffed6f4e</t>
  </si>
  <si>
    <t>0ef93e7c-b600-4737-8350-3642f0fa5ebb</t>
  </si>
  <si>
    <t>d68e83ca-6e5b-42df-a0ed-4690e321a2bc</t>
  </si>
  <si>
    <t>01525da3-924e-4390-89af-a8800931128f</t>
  </si>
  <si>
    <t>b6891147-dc9b-41c9-a2d6-6968f644f703</t>
  </si>
  <si>
    <t>c55c84cd-5ff1-412b-ad2a-dd08ef95f200</t>
  </si>
  <si>
    <t>a0cc23bb-7d8c-4571-8157-2d0ef58f61d0</t>
  </si>
  <si>
    <t>f4ef2256-af96-4f64-a6d8-ceee237ca5ef</t>
  </si>
  <si>
    <t>6ed071cd-45fd-4875-8cd6-450bf52aa8cb</t>
  </si>
  <si>
    <t>Val Blessington</t>
  </si>
  <si>
    <t>Julie Barr</t>
  </si>
  <si>
    <t>Jacey Jackson</t>
  </si>
  <si>
    <t>Jane Hall</t>
  </si>
  <si>
    <t>L Reiter</t>
  </si>
  <si>
    <t>Jackie Jolley</t>
  </si>
  <si>
    <t>Penny Carr</t>
  </si>
  <si>
    <t>Penny Carr, Kay, Merriel.</t>
  </si>
  <si>
    <t>Pauline</t>
  </si>
  <si>
    <t>STEVE CURRIE</t>
  </si>
  <si>
    <t>Piddle Brook Wyre Piddle Bridge</t>
  </si>
  <si>
    <t>Avon Smiths Meadow Wyre Piddle</t>
  </si>
  <si>
    <t>Fell Mill Footbridge</t>
  </si>
  <si>
    <t>Stour Ascott village</t>
  </si>
  <si>
    <t>Stour Whichford village</t>
  </si>
  <si>
    <t>Carrant M5 bridge</t>
  </si>
  <si>
    <t>Carrant mitton path</t>
  </si>
  <si>
    <t>Walcot Lane, Bow Brook Ford</t>
  </si>
  <si>
    <t>Mill Bridge, Peopleton</t>
  </si>
  <si>
    <t>Sherbourne Brook 2</t>
  </si>
  <si>
    <t>Stour Whichford</t>
  </si>
  <si>
    <t>Walcot Lane Ford, Bow Brook Ford</t>
  </si>
  <si>
    <t>Mill Bridge Peopleton</t>
  </si>
  <si>
    <t>Preston Bagot Brook</t>
  </si>
  <si>
    <t>Preston Bagot Canal</t>
  </si>
  <si>
    <t>Centre bridge, The Mill, Peopleton, Pershore</t>
  </si>
  <si>
    <t>Sherborne Brook 1</t>
  </si>
  <si>
    <t>Stour, Newbold, MillHouse</t>
  </si>
  <si>
    <t>Stour Shipston Fell Mill Bridge</t>
  </si>
  <si>
    <t>Stour, Newbold, millstream</t>
  </si>
  <si>
    <t>Stour, Newbold, Mill</t>
  </si>
  <si>
    <t>Stour Mill house Newbold</t>
  </si>
  <si>
    <t>No CSO nearby</t>
  </si>
  <si>
    <t>no CSO nearby</t>
  </si>
  <si>
    <t>Dry weather for a few days after months of flooding</t>
  </si>
  <si>
    <t>Phosphate measurement off scale (reading of 2.50 flashing)</t>
  </si>
  <si>
    <t>Water looked clear compared to previous tests.</t>
  </si>
  <si>
    <t>No flooding, very windy</t>
  </si>
  <si>
    <t>Showery windy</t>
  </si>
  <si>
    <t>Overcast windy</t>
  </si>
  <si>
    <t>Normal flow. Debris and scum.</t>
  </si>
  <si>
    <t>Normal flow. No scum.</t>
  </si>
  <si>
    <t>Well within its banks.</t>
  </si>
  <si>
    <t>Air temp 16C</t>
  </si>
  <si>
    <t>Air temp 14C</t>
  </si>
  <si>
    <t>River in flood, very windy</t>
  </si>
  <si>
    <t>River level subsiding.</t>
  </si>
  <si>
    <t>River height more or less back to normal</t>
  </si>
  <si>
    <t>River in flood</t>
  </si>
  <si>
    <t>Blustery wind but warm &amp; dry.  Flooded fields still very wet, but drying quickly.</t>
  </si>
  <si>
    <t>Water murky and fast flowing after heavy rain</t>
  </si>
  <si>
    <t>Water level high and fast flowing. Some foam on surface</t>
  </si>
  <si>
    <t>Fast flowing and turbid</t>
  </si>
  <si>
    <t>2nd day after heavy rain</t>
  </si>
  <si>
    <t>Quite high, brown, scum.</t>
  </si>
  <si>
    <t>Full and fast flowing river</t>
  </si>
  <si>
    <t>Receding flood. River fast brown and scum. Tested at Waterside House.</t>
  </si>
  <si>
    <t>Fast flow</t>
  </si>
  <si>
    <t>Another flood...water very high...brown and murky</t>
  </si>
  <si>
    <t>Another flood, brown and murky</t>
  </si>
  <si>
    <t>Brown water</t>
  </si>
  <si>
    <t>Flooded</t>
  </si>
  <si>
    <t>Flooded, brown water</t>
  </si>
  <si>
    <t>River fast flowing and in flood</t>
  </si>
  <si>
    <t>Turbid. In flood. No noticeable flow</t>
  </si>
  <si>
    <t>Actually pitch 15. 16 was under water</t>
  </si>
  <si>
    <t>Receding flood. High. Brown. Scum.</t>
  </si>
  <si>
    <t>Receding flood. Tested at Waterside House.</t>
  </si>
  <si>
    <t>Heavy rainfall continues</t>
  </si>
  <si>
    <t>Rain again most days</t>
  </si>
  <si>
    <t>Windy, lots of foam on the water</t>
  </si>
  <si>
    <t>Phosphate reading off the readable scale of the colourometer. Recorded result is therefore too low</t>
  </si>
  <si>
    <t>Water fast flowing and murky</t>
  </si>
  <si>
    <t>River well within its banks and more settled.  Depth from River bed to Footbridge Deck measured as 3.6m.</t>
  </si>
  <si>
    <t>River level dropped a lot and water a lot clearer</t>
  </si>
  <si>
    <t>River Green/brown and lots of scum.</t>
  </si>
  <si>
    <t>River quite high, brown, scum.</t>
  </si>
  <si>
    <t>Cloudy</t>
  </si>
  <si>
    <t>The bucket untied itself from the string and floated off downstream. Took from the bank</t>
  </si>
  <si>
    <t>Lots of rain again this week</t>
  </si>
  <si>
    <t>More rain again</t>
  </si>
  <si>
    <t>River in flood, moving fast</t>
  </si>
  <si>
    <t>Brown and scummy</t>
  </si>
  <si>
    <t>1.1m at Evesham. Falling. Brown.</t>
  </si>
  <si>
    <t>Lots of surface foam visible</t>
  </si>
  <si>
    <t>Fast current. Flecks of foam on surface</t>
  </si>
  <si>
    <t>Depth unknown yet</t>
  </si>
  <si>
    <t>Rainy</t>
  </si>
  <si>
    <t>Dry day. Emergency incident of raw sewage being pumped into Stoir. Faeces and toilet paper on river bank. EA informed</t>
  </si>
  <si>
    <t>Sunny</t>
  </si>
  <si>
    <t>Water cloudy and fast flowing after heavy rain</t>
  </si>
  <si>
    <t>River high after lots of rainfall</t>
  </si>
  <si>
    <t>Flooding following more heavy rain</t>
  </si>
  <si>
    <t>River swollen</t>
  </si>
  <si>
    <t>Mostly dry week</t>
  </si>
  <si>
    <t>River returned to normal level and flow</t>
  </si>
  <si>
    <t>River in flood but flowing</t>
  </si>
  <si>
    <t>Normal height. No rain for several days. No scum.</t>
  </si>
  <si>
    <t>No recent rain. Normal flow. Some scum.</t>
  </si>
  <si>
    <t>Brook flowing fast, water slightly cloudy</t>
  </si>
  <si>
    <t>Lowest levelin several Weeks</t>
  </si>
  <si>
    <t>Brook level back within its banks</t>
  </si>
  <si>
    <t>Floods still receeding.</t>
  </si>
  <si>
    <t>Fast flowing</t>
  </si>
  <si>
    <t>Lots of rain previous week</t>
  </si>
  <si>
    <t>Level high recent rain. Brown, with scum.</t>
  </si>
  <si>
    <t>Slight rain. Recent floods. River above landing stage and rising. Some scum</t>
  </si>
  <si>
    <t>Water level high</t>
  </si>
  <si>
    <t>High water after heavy rain, ford in flood</t>
  </si>
  <si>
    <t>Very muddy and brown water</t>
  </si>
  <si>
    <t>Very brown and muddy</t>
  </si>
  <si>
    <t>Value exceeded limit of reader (2.50 flashing) . No obvious debris in sample, reading repeated, same result</t>
  </si>
  <si>
    <t>Overcast, cold, rain yesterday</t>
  </si>
  <si>
    <t>River in flood up to bridge</t>
  </si>
  <si>
    <t>Upstream with new nitrate strips</t>
  </si>
  <si>
    <t>New nitrate strips being used</t>
  </si>
  <si>
    <t>Min of Latitude</t>
  </si>
  <si>
    <t>Max of Latitude</t>
  </si>
  <si>
    <t>Min of Longitude</t>
  </si>
  <si>
    <t>Max of Longitude</t>
  </si>
  <si>
    <t>Latitude Range</t>
  </si>
  <si>
    <t>Longitude Range</t>
  </si>
  <si>
    <t>Group As</t>
  </si>
  <si>
    <t>Pitch 16 (Linda)</t>
  </si>
  <si>
    <t>Carrant Mitton Path</t>
  </si>
  <si>
    <t>Stour Ascott Village</t>
  </si>
  <si>
    <t>Carrant M5 Bridge</t>
  </si>
  <si>
    <t>Stour Cherington Sewage Works</t>
  </si>
  <si>
    <t>Stour Stretton-on-Fosse Sewage Works</t>
  </si>
  <si>
    <t>Stour Shipston Mill Bridge</t>
  </si>
  <si>
    <t>Ilmington Middle St</t>
  </si>
  <si>
    <t>Stour Newbold Mill</t>
  </si>
  <si>
    <t>Clifford Chambers Mill Bridge</t>
  </si>
  <si>
    <t>Weston-on-Avon</t>
  </si>
  <si>
    <t>Clifford Chambers Road Bridge</t>
  </si>
  <si>
    <t>Trinity Church</t>
  </si>
  <si>
    <t>Designation</t>
  </si>
  <si>
    <t>Pershore</t>
  </si>
  <si>
    <t>Henley-in-Arden</t>
  </si>
  <si>
    <t>Bell Brook</t>
  </si>
  <si>
    <t>Sherbourne Brook</t>
  </si>
  <si>
    <t>Other</t>
  </si>
  <si>
    <t>Bow Brook</t>
  </si>
  <si>
    <t>Piddle Brook</t>
  </si>
  <si>
    <t>Autumn</t>
  </si>
  <si>
    <t>Winter</t>
  </si>
  <si>
    <t>Summer</t>
  </si>
  <si>
    <t>15m below</t>
  </si>
  <si>
    <t>20m above</t>
  </si>
  <si>
    <t>Unknown</t>
  </si>
  <si>
    <t>Waterway</t>
  </si>
  <si>
    <t>Summer = Jun/Jul/Aug</t>
  </si>
  <si>
    <t>Pollution Categories</t>
  </si>
  <si>
    <t>Autumn = Sep/Oct/Nov</t>
  </si>
  <si>
    <r>
      <t>0.0-0.5 =</t>
    </r>
    <r>
      <rPr>
        <sz val="11"/>
        <color theme="1"/>
        <rFont val="Bahnschrift SemiBold"/>
        <family val="2"/>
      </rPr>
      <t xml:space="preserve"> No Evidence</t>
    </r>
  </si>
  <si>
    <r>
      <t xml:space="preserve">0.5-1.0 = </t>
    </r>
    <r>
      <rPr>
        <sz val="11"/>
        <color theme="1"/>
        <rFont val="Bahnschrift SemiBold"/>
        <family val="2"/>
      </rPr>
      <t>Some Evidence</t>
    </r>
  </si>
  <si>
    <t>Winter = Dec/Jan/Feb</t>
  </si>
  <si>
    <r>
      <t xml:space="preserve">0.00-0.05 = </t>
    </r>
    <r>
      <rPr>
        <sz val="11"/>
        <color theme="1"/>
        <rFont val="Bahnschrift SemiBold"/>
        <family val="2"/>
      </rPr>
      <t>No Evidence</t>
    </r>
  </si>
  <si>
    <r>
      <t xml:space="preserve">0.05-0.10 = </t>
    </r>
    <r>
      <rPr>
        <sz val="11"/>
        <color theme="1"/>
        <rFont val="Bahnschrift SemiBold"/>
        <family val="2"/>
      </rPr>
      <t>Some Evidence</t>
    </r>
  </si>
  <si>
    <t>Spring = Mar/Apr/May</t>
  </si>
  <si>
    <t>All Time</t>
  </si>
  <si>
    <t>% Nitrate Readings 
"High" or "Very High"</t>
  </si>
  <si>
    <t>% Phosphate Readings 
"High" or "Very High"</t>
  </si>
  <si>
    <t>Total</t>
  </si>
  <si>
    <t>N Pollution Rank 
(44 = Least Polluted)</t>
  </si>
  <si>
    <t>P Pollution Rank
(44 = Least Polluted)</t>
  </si>
  <si>
    <t>Spring (interim)</t>
  </si>
  <si>
    <t>Deviation from Site
Avg (N)</t>
  </si>
  <si>
    <t>Deviation from Site
Avg (P)</t>
  </si>
  <si>
    <t>N Region Pollution Rank 
(5 = Least Polluted)</t>
  </si>
  <si>
    <t>TABLE 1: Summary by Test Site</t>
  </si>
  <si>
    <t>TABLE 2: Summary by Region</t>
  </si>
  <si>
    <r>
      <t xml:space="preserve">1.0-2.0 = </t>
    </r>
    <r>
      <rPr>
        <sz val="11"/>
        <color theme="1"/>
        <rFont val="Bahnschrift SemiBold"/>
        <family val="2"/>
      </rPr>
      <t>High</t>
    </r>
    <r>
      <rPr>
        <sz val="11"/>
        <color theme="1"/>
        <rFont val="Bahnschrift SemiLight"/>
        <family val="2"/>
      </rPr>
      <t xml:space="preserve"> </t>
    </r>
    <r>
      <rPr>
        <b/>
        <sz val="11"/>
        <color theme="1"/>
        <rFont val="Bahnschrift SemiLight"/>
        <family val="2"/>
      </rPr>
      <t>levels</t>
    </r>
  </si>
  <si>
    <r>
      <t xml:space="preserve">0.10-0.50 = </t>
    </r>
    <r>
      <rPr>
        <sz val="11"/>
        <color theme="1"/>
        <rFont val="Bahnschrift SemiBold"/>
        <family val="2"/>
      </rPr>
      <t>High</t>
    </r>
    <r>
      <rPr>
        <sz val="11"/>
        <color theme="1"/>
        <rFont val="Bahnschrift SemiLight"/>
        <family val="2"/>
      </rPr>
      <t xml:space="preserve"> </t>
    </r>
    <r>
      <rPr>
        <b/>
        <sz val="11"/>
        <color theme="1"/>
        <rFont val="Bahnschrift SemiLight"/>
        <family val="2"/>
      </rPr>
      <t>levels</t>
    </r>
  </si>
  <si>
    <r>
      <t xml:space="preserve">&gt;2.0 = </t>
    </r>
    <r>
      <rPr>
        <sz val="11"/>
        <color theme="1"/>
        <rFont val="Bahnschrift SemiBold"/>
        <family val="2"/>
      </rPr>
      <t>Very high</t>
    </r>
    <r>
      <rPr>
        <sz val="11"/>
        <color theme="1"/>
        <rFont val="Bahnschrift SemiLight"/>
        <family val="2"/>
      </rPr>
      <t xml:space="preserve"> </t>
    </r>
    <r>
      <rPr>
        <b/>
        <sz val="11"/>
        <color theme="1"/>
        <rFont val="Bahnschrift SemiLight"/>
        <family val="2"/>
      </rPr>
      <t>levels</t>
    </r>
  </si>
  <si>
    <r>
      <t xml:space="preserve">&gt;0.50 = </t>
    </r>
    <r>
      <rPr>
        <sz val="11"/>
        <color theme="1"/>
        <rFont val="Bahnschrift SemiBold"/>
        <family val="2"/>
      </rPr>
      <t>Very high</t>
    </r>
    <r>
      <rPr>
        <sz val="11"/>
        <color theme="1"/>
        <rFont val="Bahnschrift SemiLight"/>
        <family val="2"/>
      </rPr>
      <t xml:space="preserve"> </t>
    </r>
    <r>
      <rPr>
        <b/>
        <sz val="11"/>
        <color theme="1"/>
        <rFont val="Bahnschrift SemiLight"/>
        <family val="2"/>
      </rPr>
      <t>levels</t>
    </r>
  </si>
  <si>
    <t>Other (Ilmington)</t>
  </si>
  <si>
    <t>P Region Pollution Rank
(5 = Least Polluted)</t>
  </si>
  <si>
    <t>River/Stream/Brook</t>
  </si>
  <si>
    <t>TABLE 3: Summary by River/Stream/Brook</t>
  </si>
  <si>
    <t>N River/Stream/Brook Pollution Rank 
(12 = Least Polluted)</t>
  </si>
  <si>
    <t>P River/Stream/Brook Pollution Rank
(12 = Least Polluted)</t>
  </si>
  <si>
    <t>test sites</t>
  </si>
  <si>
    <t>(of which 24 tested at least 10 times, 13 tested all year)</t>
  </si>
  <si>
    <t>Seasonal Baselines</t>
  </si>
  <si>
    <t>TOTAL</t>
  </si>
  <si>
    <t>Summer '23</t>
  </si>
  <si>
    <t>Autumn '23</t>
  </si>
  <si>
    <t>Winter '23/24</t>
  </si>
  <si>
    <t>Test Type</t>
  </si>
  <si>
    <t>Electrical Conductivity</t>
  </si>
  <si>
    <t>Count</t>
  </si>
  <si>
    <t>Sites Sampled</t>
  </si>
  <si>
    <t>Sites Sampled 10+ times</t>
  </si>
  <si>
    <t>Sites Sampled Every Season</t>
  </si>
  <si>
    <t>Entries</t>
  </si>
  <si>
    <t>Others</t>
  </si>
  <si>
    <t>Trevor</t>
  </si>
  <si>
    <t>Martin</t>
  </si>
  <si>
    <t>Helen C</t>
  </si>
  <si>
    <t>Anna P</t>
  </si>
  <si>
    <t>Pollution Thresholds</t>
  </si>
  <si>
    <t>High levels</t>
  </si>
  <si>
    <t>Very high levels</t>
  </si>
  <si>
    <t>https://content.freshwaterhabitats.org.uk/2015/10/CWfWTechnicalDocumentFINAL.pdf</t>
  </si>
  <si>
    <t>"Very high levels of pollution"</t>
  </si>
  <si>
    <t>Year Average</t>
  </si>
  <si>
    <t>"No evidence of pollution"</t>
  </si>
  <si>
    <t>Nitrate (PPM)</t>
  </si>
  <si>
    <t>Phosphate (PPM)</t>
  </si>
  <si>
    <t>Nitrate</t>
  </si>
  <si>
    <t>Phosphate</t>
  </si>
  <si>
    <t>Methodology here:</t>
  </si>
  <si>
    <t>https://www.wyeuskfoundation.org/wp-content/uploads/2023/10/aguidetocitizenscienceriverwatersamplingandwaterqualitytestinginthefield.pdf</t>
  </si>
  <si>
    <t>Pollution Categories from here:</t>
  </si>
  <si>
    <t>Field testing.</t>
  </si>
  <si>
    <t>fde5635b-2171-442b-94aa-8ff019a4dc65</t>
  </si>
  <si>
    <t>96873b44-ded8-47f6-833f-857414945dab</t>
  </si>
  <si>
    <t>71a5fb4c-a5e0-4745-8475-30ed22020985</t>
  </si>
  <si>
    <t>dc3800ba-5473-4a42-b7e4-1796bfa468a3</t>
  </si>
  <si>
    <t>187c2996-922a-4da1-b125-accbb23a51df</t>
  </si>
  <si>
    <t>778201f0-1e5f-11ef-8277-51f9655d92c9</t>
  </si>
  <si>
    <t>d781c5a0-1e5e-11ef-8277-51f9655d92c9</t>
  </si>
  <si>
    <t>04cf475a-5017-46e5-81a8-ec9c00ae92b0</t>
  </si>
  <si>
    <t>d2e69092-33d2-41e0-9e86-c8de6fd856fe</t>
  </si>
  <si>
    <t>7c5ee228-3051-42a0-8b77-85ffe3d03ed2</t>
  </si>
  <si>
    <t>ab039903-18e1-4b9f-8574-eb7eb1c37a98</t>
  </si>
  <si>
    <t>f8971f80-1c36-11ef-bebf-11a8798c6533</t>
  </si>
  <si>
    <t>5261eae9-a282-42a8-8fd6-16203985c019</t>
  </si>
  <si>
    <t>8d952e09-7eb6-4b25-a12d-d0dc7a75fed1</t>
  </si>
  <si>
    <t>cda2b518-ae00-4d25-9020-13e961719e84</t>
  </si>
  <si>
    <t>d7d8212c-69a9-4df1-8c1a-8a5d485d4471</t>
  </si>
  <si>
    <t>fdfe430a-cec1-4d9d-aafd-b3145a00723d</t>
  </si>
  <si>
    <t>b93e6b8e-dc2a-4f54-b264-0fa4fa25fd5a</t>
  </si>
  <si>
    <t>cfc56be6-4365-4111-a88c-c273e7ac714f</t>
  </si>
  <si>
    <t>52a8a557-fadc-47f3-8454-5cb0470bd728</t>
  </si>
  <si>
    <t>51a7cc45-392b-4cb4-a4d4-210f61979328</t>
  </si>
  <si>
    <t>b0c6f7cb-c6d5-4e25-830c-6753b53248cb</t>
  </si>
  <si>
    <t>ce5a240f-c85a-4b25-a1d3-ce3914f4a221</t>
  </si>
  <si>
    <t>6ea8c422-7388-4af6-aa1f-cf68f75bd1ae</t>
  </si>
  <si>
    <t>37176442-a458-49e6-b53e-bc416255665e</t>
  </si>
  <si>
    <t>3d91c194-2b9e-4167-9415-f741087766ff</t>
  </si>
  <si>
    <t>5d32d6d0-a283-4ea0-9e92-a74904c401c3</t>
  </si>
  <si>
    <t>42e0a972-1f83-4794-a222-ce8c64f76de2</t>
  </si>
  <si>
    <t>436ae7b9-338e-458d-841a-204f46277b70</t>
  </si>
  <si>
    <t>55f94c40-63ff-4404-9191-6ed9e7b4ab33</t>
  </si>
  <si>
    <t>99b0bb00-15a8-11ef-a549-ad8311e2328c</t>
  </si>
  <si>
    <t>f65ba866-a285-44fe-93ae-7e7f5b145616</t>
  </si>
  <si>
    <t>7d06b169-2f84-48ef-bad5-fedcc1003cf7</t>
  </si>
  <si>
    <t>c0c6b22c-d3b1-40ae-9de8-07f448a2f7fb</t>
  </si>
  <si>
    <t>a8643032-f684-4d0d-a7dd-e656a483d675</t>
  </si>
  <si>
    <t>afc1b1f8-17af-4ec6-a410-11372f0a2128</t>
  </si>
  <si>
    <t>21b99809-50e1-4736-b7e6-f446a0323c80</t>
  </si>
  <si>
    <t>9b543db0-9e79-403b-8026-83a15421feba</t>
  </si>
  <si>
    <t>ceb42653-4259-4b20-a451-0bcda228c362</t>
  </si>
  <si>
    <t>8e117575-0ac9-402a-98e5-62f762418cf6</t>
  </si>
  <si>
    <t>e17ed909-cea8-4e0e-ab01-e621e892a3fd</t>
  </si>
  <si>
    <t>73f1b712-7a94-41f1-827c-87f40776e2fb</t>
  </si>
  <si>
    <t>155d5e33-85a7-47de-bfa5-09daa7fb0b12</t>
  </si>
  <si>
    <t>528871cf-e8c1-4bf3-89ee-dc264781dad9</t>
  </si>
  <si>
    <t>794164c1-3cbf-4ca2-a633-1e8e22a4ace2</t>
  </si>
  <si>
    <t>71c27d1c-f3b5-4ebb-a10f-c4e06a9398a4</t>
  </si>
  <si>
    <t>2ab21050-8627-46a0-ab66-5c9dd458a65b</t>
  </si>
  <si>
    <t>9c3bf8cc-48e2-4b8c-9bd3-eec44db7e225</t>
  </si>
  <si>
    <t>5ed4d10e-e11d-45df-8913-60a4354d3f18</t>
  </si>
  <si>
    <t>2209254a-aa82-4813-b56f-27f5603c3ecd</t>
  </si>
  <si>
    <t>152ebf9d-77ec-46c2-9516-243b73c560c7</t>
  </si>
  <si>
    <t>8d1f9e3d-5fc8-4cdf-b261-cc069ca915d8</t>
  </si>
  <si>
    <t>34bfa726-1a7d-4af9-ab75-ea85e5c4ee47</t>
  </si>
  <si>
    <t>f21fe4dc-3b7d-40e6-b3c2-33d4d5fcf255</t>
  </si>
  <si>
    <t>f211e450-f528-4d3a-9ea4-8c01ae7835e2</t>
  </si>
  <si>
    <t>77835f94-5feb-4ec2-9340-8dfdf9d308c2</t>
  </si>
  <si>
    <t>f6885646-6cb8-44b0-a389-8348b3b85a82</t>
  </si>
  <si>
    <t>fdd016b6-7dba-4423-8e2a-739b16f60b65</t>
  </si>
  <si>
    <t>743fbd06-8d1b-483c-81be-e98abb0140f4</t>
  </si>
  <si>
    <t>e1753c0f-66d8-4f85-855a-febe69ba24f3</t>
  </si>
  <si>
    <t>b99b6528-6c97-4a2c-8aa7-9ebcd6cc4bca</t>
  </si>
  <si>
    <t>49dca7d1-7223-4a2f-9da6-4b1558992f8c</t>
  </si>
  <si>
    <t>13cad749-52a7-4117-8e25-1e46e5d8e1a5</t>
  </si>
  <si>
    <t>3730471c-e4c7-4d4b-b345-f4fd3fddeb49</t>
  </si>
  <si>
    <t>f61b450d-b832-44cb-ad58-a82c0c85e03d</t>
  </si>
  <si>
    <t>2a70b2f9-280a-4841-87cf-c771aca4d83d</t>
  </si>
  <si>
    <t>35d5c5f0-1038-11ef-8262-b141d0ef07c8</t>
  </si>
  <si>
    <t>f5b69040-c105-467c-acd0-c858f5b844f8</t>
  </si>
  <si>
    <t>4d5612d9-4851-46d9-b14e-e1bfc9c963a5</t>
  </si>
  <si>
    <t>9f549c5a-17c9-47af-bb17-6c026a99ed3f</t>
  </si>
  <si>
    <t>f2f36b06-75ee-44b4-bb07-aca863a98d92</t>
  </si>
  <si>
    <t>b4ad0df7-1800-4739-8984-425df968d2c3</t>
  </si>
  <si>
    <t>6363a8fc-cf34-4989-830d-5b9739734e90</t>
  </si>
  <si>
    <t>682844ff-3941-4beb-a395-ea47f7f4da29</t>
  </si>
  <si>
    <t>ddefedb6-813f-4a58-b074-e66cf6c5d2b1</t>
  </si>
  <si>
    <t>c1f59582-ee3f-4f48-becb-1026bf9cfb9c</t>
  </si>
  <si>
    <t>5ed3cd50-0be5-11ef-b7bd-6b7e4abfa6c6</t>
  </si>
  <si>
    <t>ff0150a0-0be4-11ef-b7bd-6b7e4abfa6c6</t>
  </si>
  <si>
    <t>85c98400-0be4-11ef-b7bd-6b7e4abfa6c6</t>
  </si>
  <si>
    <t>2f40a730-0be4-11ef-b7bd-6b7e4abfa6c6</t>
  </si>
  <si>
    <t>81b577d0-0be3-11ef-b7bd-6b7e4abfa6c6</t>
  </si>
  <si>
    <t>1208c0e0-0be3-11ef-b7bd-6b7e4abfa6c6</t>
  </si>
  <si>
    <t>9c4d22b0-0be2-11ef-b7bd-6b7e4abfa6c6</t>
  </si>
  <si>
    <t>c79b0ff0-0be1-11ef-b7bd-6b7e4abfa6c6</t>
  </si>
  <si>
    <t>002d1b0b-393e-476f-a27b-34e8b68160ba</t>
  </si>
  <si>
    <t>8acfd74a-e39b-4980-9c2d-c117b72d23b5</t>
  </si>
  <si>
    <t>b9aa6d83-5655-4979-8c6b-a75f26f2b27a</t>
  </si>
  <si>
    <t>a8cf7ed7-8e91-413e-896a-d5bbbf9906b8</t>
  </si>
  <si>
    <t>b2d57930-0b18-11ef-a336-5dadd969e403</t>
  </si>
  <si>
    <t>cea04840-5251-4e54-85f7-fdef1e4cc904</t>
  </si>
  <si>
    <t>c8bf08a0-fdf9-418d-87b1-959d244b3e0e</t>
  </si>
  <si>
    <t>ef5d06ff-9d46-4292-8f6b-b9e8104e972d</t>
  </si>
  <si>
    <t>40d35022-eed9-4b89-9d9d-58517ac52391</t>
  </si>
  <si>
    <t>fb44d47b-56f2-4768-a0e7-e63ef99129df</t>
  </si>
  <si>
    <t>871326ca-831a-4496-960d-b4b024d27802</t>
  </si>
  <si>
    <t>0568a495-7796-4598-8911-be0f38ff55f2</t>
  </si>
  <si>
    <t>3117fc39-f719-4a86-b623-99a4eee569de</t>
  </si>
  <si>
    <t>16e24eb0-06fc-11ef-9a53-a12537d3e599</t>
  </si>
  <si>
    <t>24185690-34fc-4327-9fb7-1b59562f8ec3</t>
  </si>
  <si>
    <t>4bbf5b2e-a602-4441-8a99-c1a2f0619fb3</t>
  </si>
  <si>
    <t>5405fd4b-7e44-47e1-9d54-36366c04a185</t>
  </si>
  <si>
    <t>118b3de5-91ee-4243-b5c1-8b02c6e0d0d6</t>
  </si>
  <si>
    <t>ce0719c9-82c8-4d7b-a3c6-afaca977623d</t>
  </si>
  <si>
    <t>1821ad85-d487-446d-ac22-515ebc748266</t>
  </si>
  <si>
    <t>1692954d-c764-40b1-ae2d-0c32719b6611</t>
  </si>
  <si>
    <t>9e761d2a-2cb7-4f3b-954a-9d4abb0d8e37</t>
  </si>
  <si>
    <t>89a633a3-c489-404a-a73b-2e9a729cd995</t>
  </si>
  <si>
    <t>ebee0c4d-d015-4413-97a0-997ec27cdeb8</t>
  </si>
  <si>
    <t>ee444a1b-9f31-473a-8250-4c894f0b8836</t>
  </si>
  <si>
    <t>15faa5e5-5011-4154-886b-4c84fc4bff0b</t>
  </si>
  <si>
    <t>bcb61384-0315-41e8-a2e5-3f11d0910baf</t>
  </si>
  <si>
    <t>67ae92ea-7377-4889-b703-79d716440205</t>
  </si>
  <si>
    <t>9c821cb4-74b7-46b4-873d-6a5dbefa393f</t>
  </si>
  <si>
    <t>ee31b6fa-7cfe-4782-b760-1cca261120be</t>
  </si>
  <si>
    <t>cc0a390c-d98b-4252-aee7-721d7f0d4b34</t>
  </si>
  <si>
    <t>8d82356d-8634-4461-b9d9-913934153b8c</t>
  </si>
  <si>
    <t>fdf2df8b-3ddf-4401-8624-42195217fa49</t>
  </si>
  <si>
    <t>3b51ee9a-0141-49ed-be17-58af9950b9f8</t>
  </si>
  <si>
    <t>d931e762-7a53-42c8-b7df-79c10df58707</t>
  </si>
  <si>
    <t>ce5a569c-5fd3-406a-8b63-f86b030770a9</t>
  </si>
  <si>
    <t>4ca7dbb3-7997-412a-bae2-1607b3df98be</t>
  </si>
  <si>
    <t>7e844f89-2ac9-417b-ac92-355dd5d2467a</t>
  </si>
  <si>
    <t>131f88dd-4e91-40b7-aa69-b96a4e48cd87</t>
  </si>
  <si>
    <t>aa5bf9b3-ef44-45a9-a1dd-8b0b9fc0c40b</t>
  </si>
  <si>
    <t>b3f1d8fb-25b2-4331-8532-c64bfd113218</t>
  </si>
  <si>
    <t>f9c5e6f6-6d62-4e08-a793-94200bb87da6</t>
  </si>
  <si>
    <t>2b1f872d-4b1e-4ead-ad74-35697812df29</t>
  </si>
  <si>
    <t>ce07d34a-0353-45cd-9602-4dd95b5f5cd2</t>
  </si>
  <si>
    <t>fe8898db-45e4-411a-adeb-30d6f26a7208</t>
  </si>
  <si>
    <t>4b695845-338f-472c-b9ff-891190c0ec89</t>
  </si>
  <si>
    <t>b35b97fb-c7cc-4a4e-b20c-b522b6b206b0</t>
  </si>
  <si>
    <t>48b67074-d5ca-4395-a95e-235d29cf5430</t>
  </si>
  <si>
    <t>d754cc2b-450a-4355-bdd2-26a08efb2358</t>
  </si>
  <si>
    <t>4ddd647f-1190-402b-b9a3-c5c474d1e06d</t>
  </si>
  <si>
    <t>1e3ec355-2964-4fb0-83dc-08bd6bdd42a3</t>
  </si>
  <si>
    <t>8369e0db-0ccf-4163-a6a6-53a8ea0f853c</t>
  </si>
  <si>
    <t>38158c80-ff10-11ee-988e-b90fac504e2c</t>
  </si>
  <si>
    <t>744c0434-e537-418e-b659-286eea75ca4a</t>
  </si>
  <si>
    <t>d8dcd923-75ff-4454-952f-74d8e44a1ea7</t>
  </si>
  <si>
    <t>Linda</t>
  </si>
  <si>
    <t>Mary Taylor</t>
  </si>
  <si>
    <t>Kay, Alan, Penny</t>
  </si>
  <si>
    <t>Alan, Kay, Penny</t>
  </si>
  <si>
    <t>Catherine Martin</t>
  </si>
  <si>
    <t>Alan, Diana, Penny</t>
  </si>
  <si>
    <t>Diana,Alan,Penny</t>
  </si>
  <si>
    <t>Julie, Kay</t>
  </si>
  <si>
    <t>Julie, Diana</t>
  </si>
  <si>
    <t>Debs Fieldhouse</t>
  </si>
  <si>
    <t>J Gilson</t>
  </si>
  <si>
    <t>Julie Barr, Penny Carr</t>
  </si>
  <si>
    <t>Kay,Diana</t>
  </si>
  <si>
    <t>Kay, Diana</t>
  </si>
  <si>
    <t>Black bear</t>
  </si>
  <si>
    <t>Carrant m5 bridge</t>
  </si>
  <si>
    <t>Carrant Mitton path</t>
  </si>
  <si>
    <t>Below CSO</t>
  </si>
  <si>
    <t>below</t>
  </si>
  <si>
    <t>Dk</t>
  </si>
  <si>
    <t>NA</t>
  </si>
  <si>
    <t>.</t>
  </si>
  <si>
    <t>Water is much clear</t>
  </si>
  <si>
    <t>Reasonable fast flowing river after rains</t>
  </si>
  <si>
    <t>Phosphate reading off the scale so under reported</t>
  </si>
  <si>
    <t>Muddy again after day of heavy rain. Jetty submerged</t>
  </si>
  <si>
    <t>Low slow flow brown some scum</t>
  </si>
  <si>
    <t>Recently flooded. Still a bit high. Brown silty. No scum.</t>
  </si>
  <si>
    <t>Muddy coloured water.</t>
  </si>
  <si>
    <t>Looking clear</t>
  </si>
  <si>
    <t>Warm dry brown clear slow</t>
  </si>
  <si>
    <t>Low green water. No scum.Quite clear.</t>
  </si>
  <si>
    <t>Highest EC score since we started testing in October.Linked to spraying on farmland we think</t>
  </si>
  <si>
    <t>Normal</t>
  </si>
  <si>
    <t>Normal flow. Warm, dry, sunny</t>
  </si>
  <si>
    <t>Normal flow</t>
  </si>
  <si>
    <t>Phosphate off scale so value underrecorded</t>
  </si>
  <si>
    <t>Pleasant appearance.  Swallows heard in the river vicinity.</t>
  </si>
  <si>
    <t>No rain here for5 days.</t>
  </si>
  <si>
    <t>Water appearance clear.</t>
  </si>
  <si>
    <t>Frothy water</t>
  </si>
  <si>
    <t>River back to normal today</t>
  </si>
  <si>
    <t>Phosphate level off the scale so under reported</t>
  </si>
  <si>
    <t>Insects, swallows, swifts &amp; house martins over river + fields</t>
  </si>
  <si>
    <t>Very fast flowing</t>
  </si>
  <si>
    <t>Brown sediment above normal. Sunny and coolish</t>
  </si>
  <si>
    <t>Brown. Normal flow. Sunny and coolish.</t>
  </si>
  <si>
    <t>Flooded again due to 1 day of rain</t>
  </si>
  <si>
    <t>Cold,drizzle. Water clear, normal flow, no scum.</t>
  </si>
  <si>
    <t>Cold. Drizzle. Normal flow, clear, no scum.</t>
  </si>
  <si>
    <t>Note last week entry EC reading mistake</t>
  </si>
  <si>
    <t>Froth on water</t>
  </si>
  <si>
    <t>Normal and clearer water</t>
  </si>
  <si>
    <t>Phosphate reading off the scale so record is underestimated</t>
  </si>
  <si>
    <t>Normal flow no scum. Probable error in yesterday’s test so retested.</t>
  </si>
  <si>
    <t>Normal steady flow. Little recent rain</t>
  </si>
  <si>
    <t>Water brown but clear</t>
  </si>
  <si>
    <t>Water murky</t>
  </si>
  <si>
    <t>Spring</t>
  </si>
  <si>
    <t>Note: Up-to-date as of start of 1 June 2024</t>
  </si>
  <si>
    <t>Up to 1 June 2024</t>
  </si>
  <si>
    <t>Spring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</si>
</sst>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14" x14ac:knownFonts="1">
    <font>
      <sz val="11"/>
      <color theme="1"/>
      <name val="Calibri"/>
      <family val="2"/>
      <scheme val="minor"/>
    </font>
    <font>
      <sz val="11"/>
      <color theme="1"/>
      <name val="Calibri"/>
      <family val="2"/>
      <scheme val="minor"/>
    </font>
    <font>
      <b/>
      <sz val="11"/>
      <color theme="0"/>
      <name val="Calibri"/>
      <family val="2"/>
      <scheme val="minor"/>
    </font>
    <font>
      <sz val="11"/>
      <color theme="1"/>
      <name val="Bahnschrift SemiLight"/>
      <family val="2"/>
    </font>
    <font>
      <sz val="11"/>
      <color theme="1"/>
      <name val="Bahnschrift SemiBold"/>
      <family val="2"/>
    </font>
    <font>
      <sz val="11"/>
      <color theme="0"/>
      <name val="Bahnschrift SemiLight"/>
      <family val="2"/>
    </font>
    <font>
      <sz val="16"/>
      <color theme="1"/>
      <name val="Bahnschrift SemiLight"/>
      <family val="2"/>
    </font>
    <font>
      <b/>
      <sz val="11"/>
      <color theme="1"/>
      <name val="Calibri"/>
      <family val="2"/>
      <scheme val="minor"/>
    </font>
    <font>
      <u/>
      <sz val="11"/>
      <color theme="10"/>
      <name val="Calibri"/>
      <family val="2"/>
      <scheme val="minor"/>
    </font>
    <font>
      <b/>
      <sz val="11"/>
      <color theme="1"/>
      <name val="Bahnschrift SemiLight"/>
      <family val="2"/>
    </font>
    <font>
      <sz val="11"/>
      <color theme="1"/>
      <name val="Bahnschrift"/>
      <family val="2"/>
    </font>
    <font>
      <sz val="18"/>
      <color theme="0"/>
      <name val="Bahnschrift SemiBold"/>
      <family val="2"/>
    </font>
    <font>
      <b/>
      <sz val="11"/>
      <color theme="1"/>
      <name val="Bahnschrift"/>
      <family val="2"/>
    </font>
    <font>
      <u/>
      <sz val="11"/>
      <color theme="10"/>
      <name val="Bahnschrift"/>
      <family val="2"/>
    </font>
  </fonts>
  <fills count="13">
    <fill>
      <patternFill patternType="none"/>
    </fill>
    <fill>
      <patternFill patternType="gray125"/>
    </fill>
    <fill>
      <patternFill patternType="solid">
        <fgColor theme="6"/>
        <bgColor theme="6"/>
      </patternFill>
    </fill>
    <fill>
      <patternFill patternType="solid">
        <fgColor theme="6" tint="0.59999389629810485"/>
        <bgColor theme="6" tint="0.59999389629810485"/>
      </patternFill>
    </fill>
    <fill>
      <patternFill patternType="solid">
        <fgColor theme="7"/>
        <bgColor indexed="64"/>
      </patternFill>
    </fill>
    <fill>
      <patternFill patternType="solid">
        <fgColor theme="1" tint="0.499984740745262"/>
        <bgColor indexed="64"/>
      </patternFill>
    </fill>
    <fill>
      <patternFill patternType="solid">
        <fgColor theme="5"/>
        <bgColor indexed="64"/>
      </patternFill>
    </fill>
    <fill>
      <patternFill patternType="solid">
        <fgColor rgb="FFFFAFAF"/>
        <bgColor indexed="64"/>
      </patternFill>
    </fill>
    <fill>
      <patternFill patternType="solid">
        <fgColor theme="4"/>
        <bgColor indexed="64"/>
      </patternFill>
    </fill>
    <fill>
      <patternFill patternType="solid">
        <fgColor theme="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s>
  <borders count="52">
    <border>
      <left/>
      <right/>
      <top/>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style="thin">
        <color theme="0"/>
      </bottom>
      <diagonal/>
    </border>
    <border>
      <left/>
      <right style="thin">
        <color theme="0"/>
      </right>
      <top/>
      <bottom style="thick">
        <color theme="0"/>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left/>
      <right style="medium">
        <color indexed="64"/>
      </right>
      <top style="double">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right/>
      <top style="hair">
        <color indexed="64"/>
      </top>
      <bottom style="double">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top style="double">
        <color indexed="64"/>
      </top>
      <bottom style="medium">
        <color indexed="64"/>
      </bottom>
      <diagonal/>
    </border>
    <border>
      <left/>
      <right/>
      <top style="medium">
        <color indexed="64"/>
      </top>
      <bottom/>
      <diagonal/>
    </border>
    <border>
      <left/>
      <right style="thin">
        <color indexed="64"/>
      </right>
      <top/>
      <bottom style="double">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theme="0"/>
      </left>
      <right style="thin">
        <color theme="0"/>
      </right>
      <top style="thin">
        <color theme="0"/>
      </top>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209">
    <xf numFmtId="0" fontId="0" fillId="0" borderId="0" xfId="0"/>
    <xf numFmtId="20" fontId="0" fillId="0" borderId="0" xfId="0" applyNumberFormat="1"/>
    <xf numFmtId="14" fontId="0" fillId="0" borderId="0" xfId="0" applyNumberFormat="1"/>
    <xf numFmtId="164" fontId="0" fillId="0" borderId="0" xfId="0" applyNumberFormat="1"/>
    <xf numFmtId="2" fontId="0" fillId="0" borderId="0" xfId="0" applyNumberFormat="1"/>
    <xf numFmtId="0" fontId="2" fillId="2" borderId="1" xfId="0" applyFont="1" applyFill="1" applyBorder="1"/>
    <xf numFmtId="0" fontId="2" fillId="2" borderId="2" xfId="0" applyFont="1" applyFill="1" applyBorder="1"/>
    <xf numFmtId="0" fontId="0" fillId="3" borderId="3" xfId="0" applyFill="1" applyBorder="1"/>
    <xf numFmtId="0" fontId="2" fillId="2" borderId="4" xfId="0" applyFont="1" applyFill="1" applyBorder="1"/>
    <xf numFmtId="14" fontId="2" fillId="2" borderId="1" xfId="0" applyNumberFormat="1" applyFont="1" applyFill="1" applyBorder="1"/>
    <xf numFmtId="20" fontId="2" fillId="2" borderId="1" xfId="0" applyNumberFormat="1" applyFont="1" applyFill="1" applyBorder="1"/>
    <xf numFmtId="11" fontId="0" fillId="0" borderId="0" xfId="0" applyNumberFormat="1"/>
    <xf numFmtId="0" fontId="0" fillId="0" borderId="0" xfId="0" applyAlignment="1">
      <alignment wrapText="1"/>
    </xf>
    <xf numFmtId="165" fontId="0" fillId="0" borderId="0" xfId="0" applyNumberFormat="1"/>
    <xf numFmtId="0" fontId="3" fillId="0" borderId="0" xfId="0" applyFont="1"/>
    <xf numFmtId="0" fontId="3" fillId="4" borderId="5" xfId="0" applyFont="1" applyFill="1" applyBorder="1"/>
    <xf numFmtId="0" fontId="3" fillId="6" borderId="9" xfId="0" applyFont="1" applyFill="1" applyBorder="1"/>
    <xf numFmtId="0" fontId="3" fillId="7" borderId="10" xfId="0" applyFont="1" applyFill="1" applyBorder="1"/>
    <xf numFmtId="0" fontId="3" fillId="0" borderId="11" xfId="0" applyFont="1" applyBorder="1" applyAlignment="1">
      <alignment horizontal="left" vertical="center"/>
    </xf>
    <xf numFmtId="0" fontId="5" fillId="8" borderId="9" xfId="0" applyFont="1" applyFill="1" applyBorder="1"/>
    <xf numFmtId="0" fontId="3" fillId="0" borderId="16" xfId="0" applyFont="1" applyBorder="1" applyAlignment="1">
      <alignment horizontal="left" vertical="center"/>
    </xf>
    <xf numFmtId="0" fontId="3" fillId="9" borderId="20" xfId="0" applyFont="1" applyFill="1" applyBorder="1"/>
    <xf numFmtId="0" fontId="3" fillId="0" borderId="18" xfId="0" applyFont="1" applyBorder="1"/>
    <xf numFmtId="0" fontId="3" fillId="0" borderId="19" xfId="0" applyFont="1" applyBorder="1"/>
    <xf numFmtId="0" fontId="3" fillId="10" borderId="7" xfId="0" applyFont="1" applyFill="1" applyBorder="1" applyAlignment="1">
      <alignment horizontal="center" vertical="center"/>
    </xf>
    <xf numFmtId="0" fontId="3" fillId="10" borderId="8" xfId="0" applyFont="1" applyFill="1" applyBorder="1" applyAlignment="1">
      <alignment horizontal="center" vertical="center"/>
    </xf>
    <xf numFmtId="0" fontId="3" fillId="10" borderId="10" xfId="0" applyFont="1" applyFill="1" applyBorder="1" applyAlignment="1">
      <alignment horizontal="center" vertical="center"/>
    </xf>
    <xf numFmtId="0" fontId="3" fillId="10" borderId="13" xfId="0" applyFont="1" applyFill="1" applyBorder="1" applyAlignment="1">
      <alignment horizontal="center" vertical="center"/>
    </xf>
    <xf numFmtId="0" fontId="3" fillId="10" borderId="13" xfId="0" applyFont="1" applyFill="1" applyBorder="1" applyAlignment="1">
      <alignment horizontal="center" vertical="center" wrapText="1"/>
    </xf>
    <xf numFmtId="164" fontId="3" fillId="0" borderId="0" xfId="0" applyNumberFormat="1" applyFont="1"/>
    <xf numFmtId="0" fontId="3" fillId="0" borderId="24" xfId="0" applyFont="1" applyBorder="1"/>
    <xf numFmtId="0" fontId="3" fillId="0" borderId="23" xfId="0" applyFont="1" applyBorder="1" applyAlignment="1">
      <alignment horizontal="center"/>
    </xf>
    <xf numFmtId="165" fontId="3" fillId="0" borderId="0" xfId="0" applyNumberFormat="1" applyFont="1" applyAlignment="1">
      <alignment horizontal="center"/>
    </xf>
    <xf numFmtId="2" fontId="3" fillId="0" borderId="0" xfId="0" applyNumberFormat="1" applyFont="1" applyAlignment="1">
      <alignment horizontal="center"/>
    </xf>
    <xf numFmtId="9" fontId="3" fillId="0" borderId="0" xfId="1" applyFont="1" applyBorder="1" applyAlignment="1">
      <alignment horizontal="center"/>
    </xf>
    <xf numFmtId="0" fontId="3" fillId="0" borderId="0" xfId="0" applyFont="1" applyAlignment="1">
      <alignment horizontal="center"/>
    </xf>
    <xf numFmtId="9" fontId="3" fillId="0" borderId="25" xfId="1" applyFont="1" applyBorder="1" applyAlignment="1">
      <alignment horizontal="center"/>
    </xf>
    <xf numFmtId="0" fontId="3" fillId="0" borderId="27" xfId="0" applyFont="1" applyBorder="1"/>
    <xf numFmtId="0" fontId="3" fillId="0" borderId="28" xfId="0" applyFont="1" applyBorder="1"/>
    <xf numFmtId="0" fontId="3" fillId="0" borderId="26" xfId="0" applyFont="1" applyBorder="1" applyAlignment="1">
      <alignment horizontal="center"/>
    </xf>
    <xf numFmtId="2" fontId="3" fillId="0" borderId="27" xfId="0" applyNumberFormat="1" applyFont="1" applyBorder="1" applyAlignment="1">
      <alignment horizontal="center"/>
    </xf>
    <xf numFmtId="9" fontId="3" fillId="0" borderId="27" xfId="1" applyFont="1" applyBorder="1" applyAlignment="1">
      <alignment horizontal="center"/>
    </xf>
    <xf numFmtId="0" fontId="3" fillId="0" borderId="27" xfId="0" applyFont="1" applyBorder="1" applyAlignment="1">
      <alignment horizontal="center"/>
    </xf>
    <xf numFmtId="0" fontId="3" fillId="0" borderId="28" xfId="0" applyFont="1" applyBorder="1" applyAlignment="1">
      <alignment horizontal="center"/>
    </xf>
    <xf numFmtId="165" fontId="3" fillId="0" borderId="27" xfId="0" applyNumberFormat="1" applyFont="1" applyBorder="1" applyAlignment="1">
      <alignment horizontal="center"/>
    </xf>
    <xf numFmtId="0" fontId="0" fillId="0" borderId="24" xfId="0" applyBorder="1"/>
    <xf numFmtId="0" fontId="0" fillId="0" borderId="23" xfId="0" applyBorder="1" applyAlignment="1">
      <alignment horizontal="center"/>
    </xf>
    <xf numFmtId="1" fontId="0" fillId="0" borderId="0" xfId="0" applyNumberFormat="1" applyAlignment="1">
      <alignment horizontal="center"/>
    </xf>
    <xf numFmtId="2"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2" fontId="0" fillId="0" borderId="25" xfId="0" applyNumberFormat="1" applyBorder="1" applyAlignment="1">
      <alignment horizontal="center"/>
    </xf>
    <xf numFmtId="2" fontId="0" fillId="0" borderId="23" xfId="0" applyNumberFormat="1" applyBorder="1" applyAlignment="1">
      <alignment horizontal="center"/>
    </xf>
    <xf numFmtId="0" fontId="0" fillId="0" borderId="24" xfId="0" applyBorder="1" applyAlignment="1">
      <alignment horizontal="center"/>
    </xf>
    <xf numFmtId="164" fontId="3" fillId="0" borderId="0" xfId="0" applyNumberFormat="1" applyFont="1" applyAlignment="1">
      <alignment horizontal="right"/>
    </xf>
    <xf numFmtId="165" fontId="6" fillId="0" borderId="18" xfId="0" applyNumberFormat="1" applyFont="1" applyBorder="1" applyAlignment="1">
      <alignment horizontal="center" vertical="center"/>
    </xf>
    <xf numFmtId="2" fontId="6" fillId="0" borderId="18" xfId="0" applyNumberFormat="1" applyFont="1" applyBorder="1" applyAlignment="1">
      <alignment horizontal="center" vertical="center"/>
    </xf>
    <xf numFmtId="0" fontId="6" fillId="0" borderId="29" xfId="0" applyFont="1" applyBorder="1" applyAlignment="1">
      <alignment vertical="center"/>
    </xf>
    <xf numFmtId="0" fontId="6" fillId="0" borderId="18" xfId="0" applyFont="1" applyBorder="1" applyAlignment="1">
      <alignment vertical="center"/>
    </xf>
    <xf numFmtId="0" fontId="6" fillId="0" borderId="19" xfId="0" applyFont="1" applyBorder="1" applyAlignment="1">
      <alignment vertical="center"/>
    </xf>
    <xf numFmtId="0" fontId="6" fillId="0" borderId="15" xfId="0" applyFont="1" applyBorder="1" applyAlignment="1">
      <alignment horizontal="center" vertical="center"/>
    </xf>
    <xf numFmtId="9" fontId="6" fillId="0" borderId="18" xfId="1" applyFont="1" applyBorder="1" applyAlignment="1">
      <alignment horizontal="center" vertical="center"/>
    </xf>
    <xf numFmtId="0" fontId="6" fillId="0" borderId="18" xfId="0" applyFont="1" applyBorder="1" applyAlignment="1">
      <alignment horizontal="center" vertical="center"/>
    </xf>
    <xf numFmtId="0" fontId="6" fillId="0" borderId="0" xfId="0" applyFont="1" applyAlignment="1">
      <alignment vertical="center"/>
    </xf>
    <xf numFmtId="0" fontId="3" fillId="10" borderId="21" xfId="0" applyFont="1" applyFill="1" applyBorder="1" applyAlignment="1">
      <alignment horizontal="center" vertical="center" wrapText="1"/>
    </xf>
    <xf numFmtId="1" fontId="3" fillId="0" borderId="23" xfId="0" applyNumberFormat="1" applyFont="1" applyBorder="1" applyAlignment="1">
      <alignment horizontal="center"/>
    </xf>
    <xf numFmtId="0" fontId="6" fillId="0" borderId="30" xfId="0" applyFont="1" applyBorder="1" applyAlignment="1">
      <alignment horizontal="center" vertical="center"/>
    </xf>
    <xf numFmtId="165" fontId="6" fillId="0" borderId="29" xfId="0" applyNumberFormat="1" applyFont="1" applyBorder="1" applyAlignment="1">
      <alignment horizontal="center" vertical="center"/>
    </xf>
    <xf numFmtId="9" fontId="6" fillId="0" borderId="29" xfId="1" applyFont="1" applyBorder="1" applyAlignment="1">
      <alignment horizontal="center" vertical="center"/>
    </xf>
    <xf numFmtId="2" fontId="6" fillId="0" borderId="29" xfId="0" applyNumberFormat="1" applyFont="1" applyBorder="1" applyAlignment="1">
      <alignment horizontal="center" vertical="center"/>
    </xf>
    <xf numFmtId="9" fontId="6" fillId="0" borderId="31" xfId="1" applyFont="1" applyBorder="1" applyAlignment="1">
      <alignment horizontal="center" vertical="center"/>
    </xf>
    <xf numFmtId="0" fontId="3" fillId="0" borderId="32" xfId="0" applyFont="1" applyBorder="1" applyAlignment="1">
      <alignment horizontal="center"/>
    </xf>
    <xf numFmtId="9" fontId="3" fillId="0" borderId="28" xfId="1" applyFont="1" applyBorder="1" applyAlignment="1">
      <alignment horizontal="center"/>
    </xf>
    <xf numFmtId="0" fontId="3" fillId="10" borderId="14" xfId="0" applyFont="1" applyFill="1" applyBorder="1" applyAlignment="1">
      <alignment horizontal="center" vertical="center" wrapText="1"/>
    </xf>
    <xf numFmtId="9" fontId="3" fillId="0" borderId="24" xfId="1" applyFont="1" applyBorder="1" applyAlignment="1">
      <alignment horizontal="center"/>
    </xf>
    <xf numFmtId="9" fontId="6" fillId="0" borderId="33" xfId="1" applyFont="1" applyBorder="1" applyAlignment="1">
      <alignment horizontal="center" vertical="center"/>
    </xf>
    <xf numFmtId="0" fontId="6" fillId="0" borderId="24" xfId="0" applyFont="1" applyBorder="1" applyAlignment="1">
      <alignment vertical="center"/>
    </xf>
    <xf numFmtId="0" fontId="6" fillId="0" borderId="0" xfId="0" applyFont="1" applyAlignment="1">
      <alignment horizontal="center" vertical="center"/>
    </xf>
    <xf numFmtId="165" fontId="6" fillId="0" borderId="0" xfId="0" applyNumberFormat="1" applyFont="1" applyAlignment="1">
      <alignment horizontal="center" vertical="center"/>
    </xf>
    <xf numFmtId="2" fontId="6" fillId="0" borderId="0" xfId="0" applyNumberFormat="1" applyFont="1" applyAlignment="1">
      <alignment horizontal="center" vertical="center"/>
    </xf>
    <xf numFmtId="166" fontId="6" fillId="0" borderId="0" xfId="1" applyNumberFormat="1" applyFont="1" applyBorder="1" applyAlignment="1">
      <alignment horizontal="center" vertical="center"/>
    </xf>
    <xf numFmtId="9" fontId="6" fillId="0" borderId="0" xfId="1" applyFont="1" applyBorder="1" applyAlignment="1">
      <alignment horizontal="center" vertical="center"/>
    </xf>
    <xf numFmtId="0" fontId="3" fillId="12" borderId="0" xfId="0" applyFont="1" applyFill="1"/>
    <xf numFmtId="0" fontId="3" fillId="12" borderId="24" xfId="0" applyFont="1" applyFill="1" applyBorder="1"/>
    <xf numFmtId="0" fontId="3" fillId="12" borderId="23" xfId="0" applyFont="1" applyFill="1" applyBorder="1" applyAlignment="1">
      <alignment horizontal="center"/>
    </xf>
    <xf numFmtId="165" fontId="3" fillId="12" borderId="0" xfId="0" applyNumberFormat="1" applyFont="1" applyFill="1" applyAlignment="1">
      <alignment horizontal="center"/>
    </xf>
    <xf numFmtId="2" fontId="3" fillId="12" borderId="0" xfId="0" applyNumberFormat="1" applyFont="1" applyFill="1" applyAlignment="1">
      <alignment horizontal="center"/>
    </xf>
    <xf numFmtId="9" fontId="3" fillId="12" borderId="0" xfId="1" applyFont="1" applyFill="1" applyBorder="1" applyAlignment="1">
      <alignment horizontal="center"/>
    </xf>
    <xf numFmtId="0" fontId="3" fillId="12" borderId="0" xfId="0" applyFont="1" applyFill="1" applyAlignment="1">
      <alignment horizontal="center"/>
    </xf>
    <xf numFmtId="9" fontId="3" fillId="12" borderId="25" xfId="1" applyFont="1" applyFill="1" applyBorder="1" applyAlignment="1">
      <alignment horizontal="center"/>
    </xf>
    <xf numFmtId="9" fontId="3" fillId="12" borderId="24" xfId="1" applyFont="1" applyFill="1" applyBorder="1" applyAlignment="1">
      <alignment horizontal="center"/>
    </xf>
    <xf numFmtId="0" fontId="9" fillId="12" borderId="24" xfId="0" applyFont="1" applyFill="1" applyBorder="1"/>
    <xf numFmtId="0" fontId="3" fillId="10" borderId="0" xfId="0" applyFont="1" applyFill="1"/>
    <xf numFmtId="0" fontId="3" fillId="10" borderId="24" xfId="0" applyFont="1" applyFill="1" applyBorder="1"/>
    <xf numFmtId="0" fontId="3" fillId="10" borderId="23" xfId="0" applyFont="1" applyFill="1" applyBorder="1" applyAlignment="1">
      <alignment horizontal="center"/>
    </xf>
    <xf numFmtId="165" fontId="3" fillId="10" borderId="0" xfId="0" applyNumberFormat="1" applyFont="1" applyFill="1" applyAlignment="1">
      <alignment horizontal="center"/>
    </xf>
    <xf numFmtId="2" fontId="3" fillId="10" borderId="0" xfId="0" applyNumberFormat="1" applyFont="1" applyFill="1" applyAlignment="1">
      <alignment horizontal="center"/>
    </xf>
    <xf numFmtId="9" fontId="3" fillId="10" borderId="0" xfId="1" applyFont="1" applyFill="1" applyBorder="1" applyAlignment="1">
      <alignment horizontal="center"/>
    </xf>
    <xf numFmtId="0" fontId="3" fillId="10" borderId="0" xfId="0" applyFont="1" applyFill="1" applyAlignment="1">
      <alignment horizontal="center"/>
    </xf>
    <xf numFmtId="9" fontId="3" fillId="10" borderId="25" xfId="1" applyFont="1" applyFill="1" applyBorder="1" applyAlignment="1">
      <alignment horizontal="center"/>
    </xf>
    <xf numFmtId="9" fontId="3" fillId="10" borderId="24" xfId="1" applyFont="1" applyFill="1" applyBorder="1" applyAlignment="1">
      <alignment horizontal="center"/>
    </xf>
    <xf numFmtId="0" fontId="9" fillId="12" borderId="0" xfId="0" applyFont="1" applyFill="1"/>
    <xf numFmtId="0" fontId="9" fillId="12" borderId="23" xfId="0" applyFont="1" applyFill="1" applyBorder="1" applyAlignment="1">
      <alignment horizontal="center"/>
    </xf>
    <xf numFmtId="0" fontId="7" fillId="0" borderId="0" xfId="0" applyFont="1"/>
    <xf numFmtId="9" fontId="9" fillId="12" borderId="0" xfId="1" applyFont="1" applyFill="1" applyBorder="1" applyAlignment="1">
      <alignment horizontal="center"/>
    </xf>
    <xf numFmtId="9" fontId="9" fillId="12" borderId="25" xfId="1" applyFont="1" applyFill="1" applyBorder="1" applyAlignment="1">
      <alignment horizontal="center"/>
    </xf>
    <xf numFmtId="9" fontId="9" fillId="12" borderId="24" xfId="1" applyFont="1" applyFill="1" applyBorder="1" applyAlignment="1">
      <alignment horizontal="center"/>
    </xf>
    <xf numFmtId="0" fontId="7" fillId="0" borderId="24" xfId="0" applyFont="1" applyBorder="1"/>
    <xf numFmtId="0" fontId="3" fillId="0" borderId="33" xfId="0" applyFont="1" applyBorder="1"/>
    <xf numFmtId="0" fontId="9" fillId="12" borderId="34" xfId="0" applyFont="1" applyFill="1" applyBorder="1"/>
    <xf numFmtId="0" fontId="9" fillId="12" borderId="35" xfId="0" applyFont="1" applyFill="1" applyBorder="1" applyAlignment="1">
      <alignment horizontal="center"/>
    </xf>
    <xf numFmtId="165" fontId="9" fillId="12" borderId="36" xfId="0" applyNumberFormat="1" applyFont="1" applyFill="1" applyBorder="1" applyAlignment="1">
      <alignment horizontal="center"/>
    </xf>
    <xf numFmtId="2" fontId="9" fillId="12" borderId="36" xfId="0" applyNumberFormat="1" applyFont="1" applyFill="1" applyBorder="1" applyAlignment="1">
      <alignment horizontal="center"/>
    </xf>
    <xf numFmtId="9" fontId="9" fillId="12" borderId="36" xfId="1" applyFont="1" applyFill="1" applyBorder="1" applyAlignment="1">
      <alignment horizontal="center"/>
    </xf>
    <xf numFmtId="0" fontId="9" fillId="12" borderId="36" xfId="0" applyFont="1" applyFill="1" applyBorder="1" applyAlignment="1">
      <alignment horizontal="center"/>
    </xf>
    <xf numFmtId="9" fontId="9" fillId="12" borderId="37" xfId="1" applyFont="1" applyFill="1" applyBorder="1" applyAlignment="1">
      <alignment horizontal="center"/>
    </xf>
    <xf numFmtId="0" fontId="9" fillId="12" borderId="36" xfId="0" applyFont="1" applyFill="1" applyBorder="1"/>
    <xf numFmtId="0" fontId="9" fillId="12" borderId="36" xfId="0" quotePrefix="1" applyFont="1" applyFill="1" applyBorder="1" applyAlignment="1">
      <alignment horizontal="center"/>
    </xf>
    <xf numFmtId="0" fontId="9" fillId="10" borderId="36" xfId="0" applyFont="1" applyFill="1" applyBorder="1"/>
    <xf numFmtId="0" fontId="9" fillId="10" borderId="35" xfId="0" applyFont="1" applyFill="1" applyBorder="1" applyAlignment="1">
      <alignment horizontal="center"/>
    </xf>
    <xf numFmtId="9" fontId="9" fillId="10" borderId="36" xfId="1" applyFont="1" applyFill="1" applyBorder="1" applyAlignment="1">
      <alignment horizontal="center"/>
    </xf>
    <xf numFmtId="0" fontId="9" fillId="10" borderId="36" xfId="0" applyFont="1" applyFill="1" applyBorder="1" applyAlignment="1">
      <alignment horizontal="center"/>
    </xf>
    <xf numFmtId="165" fontId="9" fillId="10" borderId="36" xfId="0" applyNumberFormat="1" applyFont="1" applyFill="1" applyBorder="1" applyAlignment="1">
      <alignment horizontal="center"/>
    </xf>
    <xf numFmtId="2" fontId="9" fillId="10" borderId="36" xfId="0" applyNumberFormat="1" applyFont="1" applyFill="1" applyBorder="1" applyAlignment="1">
      <alignment horizontal="center"/>
    </xf>
    <xf numFmtId="9" fontId="9" fillId="10" borderId="37" xfId="1" applyFont="1" applyFill="1" applyBorder="1" applyAlignment="1">
      <alignment horizontal="center"/>
    </xf>
    <xf numFmtId="0" fontId="9" fillId="12" borderId="38" xfId="0" applyFont="1" applyFill="1" applyBorder="1"/>
    <xf numFmtId="0" fontId="9" fillId="12" borderId="39" xfId="0" applyFont="1" applyFill="1" applyBorder="1"/>
    <xf numFmtId="0" fontId="9" fillId="12" borderId="38" xfId="0" applyFont="1" applyFill="1" applyBorder="1" applyAlignment="1">
      <alignment horizontal="center"/>
    </xf>
    <xf numFmtId="165" fontId="9" fillId="12" borderId="40" xfId="0" applyNumberFormat="1" applyFont="1" applyFill="1" applyBorder="1" applyAlignment="1">
      <alignment horizontal="center"/>
    </xf>
    <xf numFmtId="2" fontId="9" fillId="12" borderId="40" xfId="0" applyNumberFormat="1" applyFont="1" applyFill="1" applyBorder="1" applyAlignment="1">
      <alignment horizontal="center"/>
    </xf>
    <xf numFmtId="9" fontId="9" fillId="12" borderId="40" xfId="1" applyFont="1" applyFill="1" applyBorder="1" applyAlignment="1">
      <alignment horizontal="center"/>
    </xf>
    <xf numFmtId="0" fontId="9" fillId="12" borderId="40" xfId="0" applyFont="1" applyFill="1" applyBorder="1" applyAlignment="1">
      <alignment horizontal="center"/>
    </xf>
    <xf numFmtId="0" fontId="9" fillId="12" borderId="39" xfId="0" quotePrefix="1" applyFont="1" applyFill="1" applyBorder="1" applyAlignment="1">
      <alignment horizontal="center"/>
    </xf>
    <xf numFmtId="0" fontId="9" fillId="12" borderId="41" xfId="0" applyFont="1" applyFill="1" applyBorder="1" applyAlignment="1">
      <alignment horizontal="center"/>
    </xf>
    <xf numFmtId="165" fontId="9" fillId="12" borderId="42" xfId="0" applyNumberFormat="1" applyFont="1" applyFill="1" applyBorder="1" applyAlignment="1">
      <alignment horizontal="center"/>
    </xf>
    <xf numFmtId="9" fontId="9" fillId="12" borderId="42" xfId="1" applyFont="1" applyFill="1" applyBorder="1" applyAlignment="1">
      <alignment horizontal="center"/>
    </xf>
    <xf numFmtId="2" fontId="9" fillId="12" borderId="42" xfId="0" applyNumberFormat="1" applyFont="1" applyFill="1" applyBorder="1" applyAlignment="1">
      <alignment horizontal="center"/>
    </xf>
    <xf numFmtId="9" fontId="9" fillId="12" borderId="43" xfId="1" applyFont="1" applyFill="1" applyBorder="1" applyAlignment="1">
      <alignment horizontal="center"/>
    </xf>
    <xf numFmtId="9" fontId="9" fillId="12" borderId="44" xfId="1" applyFont="1" applyFill="1" applyBorder="1" applyAlignment="1">
      <alignment horizontal="center"/>
    </xf>
    <xf numFmtId="0" fontId="9" fillId="10" borderId="34" xfId="0" applyFont="1" applyFill="1" applyBorder="1"/>
    <xf numFmtId="9" fontId="9" fillId="12" borderId="34" xfId="1" applyFont="1" applyFill="1" applyBorder="1" applyAlignment="1">
      <alignment horizontal="center"/>
    </xf>
    <xf numFmtId="9" fontId="9" fillId="10" borderId="34" xfId="1" applyFont="1" applyFill="1" applyBorder="1" applyAlignment="1">
      <alignment horizontal="center"/>
    </xf>
    <xf numFmtId="165" fontId="9" fillId="12" borderId="0" xfId="0" applyNumberFormat="1" applyFont="1" applyFill="1" applyAlignment="1">
      <alignment horizontal="center"/>
    </xf>
    <xf numFmtId="2" fontId="9" fillId="12" borderId="0" xfId="0" applyNumberFormat="1" applyFont="1" applyFill="1" applyAlignment="1">
      <alignment horizontal="center"/>
    </xf>
    <xf numFmtId="0" fontId="9" fillId="12" borderId="0" xfId="0" applyFont="1" applyFill="1" applyAlignment="1">
      <alignment horizontal="center"/>
    </xf>
    <xf numFmtId="0" fontId="9" fillId="12" borderId="0" xfId="0" quotePrefix="1" applyFont="1" applyFill="1" applyAlignment="1">
      <alignment horizontal="center"/>
    </xf>
    <xf numFmtId="0" fontId="6" fillId="0" borderId="45" xfId="0" applyFont="1" applyBorder="1" applyAlignment="1">
      <alignment horizontal="center" vertical="center"/>
    </xf>
    <xf numFmtId="0" fontId="3" fillId="0" borderId="46" xfId="0" applyFont="1" applyBorder="1"/>
    <xf numFmtId="0" fontId="3" fillId="0" borderId="26" xfId="0" applyFont="1" applyBorder="1"/>
    <xf numFmtId="164" fontId="3" fillId="0" borderId="27" xfId="0" applyNumberFormat="1" applyFont="1" applyBorder="1"/>
    <xf numFmtId="9" fontId="3" fillId="0" borderId="47" xfId="1" applyFont="1" applyBorder="1" applyAlignment="1">
      <alignment horizontal="center"/>
    </xf>
    <xf numFmtId="1" fontId="3" fillId="0" borderId="26" xfId="0" applyNumberFormat="1" applyFont="1" applyBorder="1" applyAlignment="1">
      <alignment horizontal="center"/>
    </xf>
    <xf numFmtId="0" fontId="10" fillId="0" borderId="0" xfId="0" applyFont="1"/>
    <xf numFmtId="0" fontId="3" fillId="10" borderId="23" xfId="0" applyFont="1" applyFill="1" applyBorder="1"/>
    <xf numFmtId="0" fontId="3" fillId="12" borderId="48" xfId="0" applyFont="1" applyFill="1" applyBorder="1"/>
    <xf numFmtId="0" fontId="3" fillId="12" borderId="50" xfId="0" applyFont="1" applyFill="1" applyBorder="1"/>
    <xf numFmtId="0" fontId="6" fillId="0" borderId="30" xfId="0" applyFont="1" applyBorder="1" applyAlignment="1">
      <alignment vertical="center"/>
    </xf>
    <xf numFmtId="2" fontId="6" fillId="0" borderId="33" xfId="0" applyNumberFormat="1" applyFont="1" applyBorder="1" applyAlignment="1">
      <alignment horizontal="center" vertical="center"/>
    </xf>
    <xf numFmtId="0" fontId="3" fillId="10" borderId="0" xfId="0" quotePrefix="1" applyFont="1" applyFill="1" applyAlignment="1">
      <alignment horizontal="center"/>
    </xf>
    <xf numFmtId="9" fontId="3" fillId="12" borderId="36" xfId="1" applyFont="1" applyFill="1" applyBorder="1" applyAlignment="1">
      <alignment horizontal="center"/>
    </xf>
    <xf numFmtId="9" fontId="3" fillId="12" borderId="34" xfId="1" applyFont="1" applyFill="1" applyBorder="1" applyAlignment="1">
      <alignment horizontal="center"/>
    </xf>
    <xf numFmtId="0" fontId="9" fillId="12" borderId="35" xfId="0" applyFont="1" applyFill="1" applyBorder="1"/>
    <xf numFmtId="9" fontId="3" fillId="12" borderId="49" xfId="1" applyFont="1" applyFill="1" applyBorder="1" applyAlignment="1">
      <alignment horizontal="center"/>
    </xf>
    <xf numFmtId="2" fontId="3" fillId="12" borderId="49" xfId="0" applyNumberFormat="1" applyFont="1" applyFill="1" applyBorder="1" applyAlignment="1">
      <alignment horizontal="center"/>
    </xf>
    <xf numFmtId="9" fontId="3" fillId="12" borderId="50" xfId="1" applyFont="1" applyFill="1" applyBorder="1" applyAlignment="1">
      <alignment horizontal="center"/>
    </xf>
    <xf numFmtId="0" fontId="0" fillId="0" borderId="24" xfId="0" applyBorder="1" applyAlignment="1">
      <alignment horizontal="left"/>
    </xf>
    <xf numFmtId="0" fontId="7" fillId="0" borderId="24" xfId="0" applyFont="1" applyBorder="1" applyAlignment="1">
      <alignment horizontal="left"/>
    </xf>
    <xf numFmtId="164" fontId="7" fillId="0" borderId="0" xfId="0" applyNumberFormat="1" applyFont="1"/>
    <xf numFmtId="0" fontId="3" fillId="0" borderId="29" xfId="0" applyFont="1" applyBorder="1" applyAlignment="1">
      <alignment vertical="center"/>
    </xf>
    <xf numFmtId="0" fontId="3" fillId="0" borderId="0" xfId="0" applyFont="1" applyAlignment="1">
      <alignment vertical="center"/>
    </xf>
    <xf numFmtId="0" fontId="3" fillId="8" borderId="15" xfId="0" applyFont="1" applyFill="1" applyBorder="1"/>
    <xf numFmtId="9" fontId="0" fillId="0" borderId="0" xfId="1" applyFont="1"/>
    <xf numFmtId="2" fontId="0" fillId="0" borderId="0" xfId="1" applyNumberFormat="1" applyFont="1"/>
    <xf numFmtId="165" fontId="0" fillId="0" borderId="0" xfId="1" applyNumberFormat="1" applyFont="1"/>
    <xf numFmtId="0" fontId="12" fillId="4" borderId="0" xfId="0" applyFont="1" applyFill="1"/>
    <xf numFmtId="0" fontId="13" fillId="0" borderId="0" xfId="2" applyFont="1"/>
    <xf numFmtId="0" fontId="0" fillId="3" borderId="51" xfId="0" applyFill="1" applyBorder="1"/>
    <xf numFmtId="0" fontId="0" fillId="3" borderId="0" xfId="0" applyFill="1"/>
    <xf numFmtId="0" fontId="0" fillId="0" borderId="3" xfId="0" applyBorder="1"/>
    <xf numFmtId="0" fontId="3" fillId="11" borderId="10" xfId="0" applyFont="1" applyFill="1" applyBorder="1" applyAlignment="1">
      <alignment horizontal="center"/>
    </xf>
    <xf numFmtId="0" fontId="3" fillId="11" borderId="13" xfId="0" applyFont="1" applyFill="1" applyBorder="1" applyAlignment="1">
      <alignment horizontal="center"/>
    </xf>
    <xf numFmtId="0" fontId="3" fillId="11" borderId="14" xfId="0" applyFont="1" applyFill="1" applyBorder="1" applyAlignment="1">
      <alignment horizontal="center"/>
    </xf>
    <xf numFmtId="0" fontId="5" fillId="5" borderId="6" xfId="0" applyFont="1" applyFill="1" applyBorder="1" applyAlignment="1">
      <alignment horizontal="center"/>
    </xf>
    <xf numFmtId="0" fontId="5" fillId="5" borderId="7" xfId="0" applyFont="1" applyFill="1" applyBorder="1" applyAlignment="1">
      <alignment horizontal="center"/>
    </xf>
    <xf numFmtId="0" fontId="5" fillId="5" borderId="8" xfId="0" applyFont="1" applyFill="1" applyBorder="1" applyAlignment="1">
      <alignment horizontal="center"/>
    </xf>
    <xf numFmtId="0" fontId="3" fillId="4" borderId="10" xfId="0" applyFont="1" applyFill="1" applyBorder="1" applyAlignment="1">
      <alignment horizontal="center"/>
    </xf>
    <xf numFmtId="0" fontId="3" fillId="4" borderId="13" xfId="0" applyFont="1" applyFill="1" applyBorder="1" applyAlignment="1">
      <alignment horizontal="center"/>
    </xf>
    <xf numFmtId="0" fontId="3" fillId="4" borderId="21" xfId="0" applyFont="1" applyFill="1" applyBorder="1" applyAlignment="1">
      <alignment horizontal="center"/>
    </xf>
    <xf numFmtId="0" fontId="3" fillId="6" borderId="22" xfId="0" applyFont="1" applyFill="1" applyBorder="1" applyAlignment="1">
      <alignment horizontal="center"/>
    </xf>
    <xf numFmtId="0" fontId="3" fillId="6" borderId="13" xfId="0" applyFont="1" applyFill="1" applyBorder="1" applyAlignment="1">
      <alignment horizontal="center"/>
    </xf>
    <xf numFmtId="0" fontId="3" fillId="6" borderId="21" xfId="0" applyFont="1" applyFill="1" applyBorder="1" applyAlignment="1">
      <alignment horizontal="center"/>
    </xf>
    <xf numFmtId="0" fontId="5" fillId="8" borderId="22" xfId="0" applyFont="1" applyFill="1" applyBorder="1" applyAlignment="1">
      <alignment horizontal="center"/>
    </xf>
    <xf numFmtId="0" fontId="5" fillId="8" borderId="13" xfId="0" applyFont="1" applyFill="1" applyBorder="1" applyAlignment="1">
      <alignment horizontal="center"/>
    </xf>
    <xf numFmtId="0" fontId="5" fillId="8" borderId="14" xfId="0" applyFont="1" applyFill="1" applyBorder="1" applyAlignment="1">
      <alignment horizontal="center"/>
    </xf>
    <xf numFmtId="0" fontId="3" fillId="9" borderId="10" xfId="0" applyFont="1" applyFill="1" applyBorder="1" applyAlignment="1">
      <alignment horizontal="center"/>
    </xf>
    <xf numFmtId="0" fontId="3" fillId="9" borderId="13" xfId="0" applyFont="1" applyFill="1" applyBorder="1" applyAlignment="1">
      <alignment horizontal="center"/>
    </xf>
    <xf numFmtId="0" fontId="3" fillId="9" borderId="14" xfId="0" applyFont="1" applyFill="1" applyBorder="1" applyAlignment="1">
      <alignment horizontal="center"/>
    </xf>
    <xf numFmtId="0" fontId="3" fillId="0" borderId="12" xfId="0" applyFont="1" applyBorder="1" applyAlignment="1">
      <alignment horizontal="left" vertical="center"/>
    </xf>
    <xf numFmtId="0" fontId="3" fillId="0" borderId="11"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7" xfId="0" applyFont="1" applyBorder="1" applyAlignment="1">
      <alignment horizontal="left" vertical="center"/>
    </xf>
    <xf numFmtId="0" fontId="3" fillId="0" borderId="16" xfId="0" applyFont="1" applyBorder="1" applyAlignment="1">
      <alignment horizontal="left" vertical="center"/>
    </xf>
    <xf numFmtId="0" fontId="3" fillId="0" borderId="18" xfId="0" applyFont="1" applyBorder="1" applyAlignment="1">
      <alignment horizontal="left" vertical="center"/>
    </xf>
    <xf numFmtId="0" fontId="3" fillId="0" borderId="19" xfId="0" applyFont="1" applyBorder="1" applyAlignment="1">
      <alignment horizontal="left" vertical="center"/>
    </xf>
    <xf numFmtId="0" fontId="11" fillId="5" borderId="0" xfId="0" applyFont="1" applyFill="1" applyAlignment="1">
      <alignment horizontal="center" vertical="center"/>
    </xf>
    <xf numFmtId="0" fontId="3" fillId="10" borderId="10" xfId="0" applyFont="1" applyFill="1" applyBorder="1" applyAlignment="1">
      <alignment horizontal="center"/>
    </xf>
    <xf numFmtId="0" fontId="3" fillId="10" borderId="13" xfId="0" applyFont="1" applyFill="1" applyBorder="1" applyAlignment="1">
      <alignment horizontal="center"/>
    </xf>
    <xf numFmtId="0" fontId="3" fillId="10" borderId="14" xfId="0" applyFont="1" applyFill="1" applyBorder="1" applyAlignment="1">
      <alignment horizontal="center"/>
    </xf>
  </cellXfs>
  <cellStyles count="3">
    <cellStyle name="Hyperlink" xfId="2" builtinId="8"/>
    <cellStyle name="Normal" xfId="0" builtinId="0"/>
    <cellStyle name="Percent" xfId="1" builtinId="5"/>
  </cellStyles>
  <dxfs count="40">
    <dxf>
      <font>
        <color rgb="FF9C0006"/>
      </font>
    </dxf>
    <dxf>
      <font>
        <color theme="9" tint="-0.24994659260841701"/>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9" tint="-0.499984740745262"/>
      </font>
      <fill>
        <patternFill>
          <bgColor theme="9" tint="0.59996337778862885"/>
        </patternFill>
      </fill>
    </dxf>
    <dxf>
      <numFmt numFmtId="0" formatCode="General"/>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dxf>
    <dxf>
      <numFmt numFmtId="164" formatCode="0.000"/>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25" formatCode="hh:mm"/>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25" formatCode="hh:mm"/>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numFmt numFmtId="19" formatCode="dd/mm/yyyy"/>
    </dxf>
    <dxf>
      <font>
        <b val="0"/>
        <i val="0"/>
        <strike val="0"/>
        <condense val="0"/>
        <extend val="0"/>
        <outline val="0"/>
        <shadow val="0"/>
        <u val="none"/>
        <vertAlign val="baseline"/>
        <sz val="11"/>
        <color theme="1"/>
        <name val="Calibri"/>
        <family val="2"/>
        <scheme val="minor"/>
      </font>
      <numFmt numFmtId="19" formatCode="dd/mm/yyyy"/>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6" tint="0.59999389629810485"/>
          <bgColor theme="6" tint="0.59999389629810485"/>
        </patternFill>
      </fill>
    </dxf>
    <dxf>
      <border outline="0">
        <bottom style="thick">
          <color theme="0"/>
        </bottom>
      </border>
    </dxf>
    <dxf>
      <font>
        <b/>
        <i val="0"/>
        <strike val="0"/>
        <condense val="0"/>
        <extend val="0"/>
        <outline val="0"/>
        <shadow val="0"/>
        <u val="none"/>
        <vertAlign val="baseline"/>
        <sz val="11"/>
        <color theme="0"/>
        <name val="Calibri"/>
        <family val="2"/>
        <scheme val="minor"/>
      </font>
      <fill>
        <patternFill patternType="solid">
          <fgColor theme="6"/>
          <bgColor theme="6"/>
        </patternFill>
      </fill>
      <border diagonalUp="0" diagonalDown="0" outline="0">
        <left style="thin">
          <color theme="0"/>
        </left>
        <right style="thin">
          <color theme="0"/>
        </right>
        <top/>
        <bottom/>
      </border>
    </dxf>
  </dxfs>
  <tableStyles count="0" defaultTableStyle="TableStyleMedium2" defaultPivotStyle="PivotStyleLight16"/>
  <colors>
    <mruColors>
      <color rgb="FFFF6161"/>
      <color rgb="FFFF2121"/>
      <color rgb="FFFF9797"/>
      <color rgb="FFFF2F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000"/>
              <a:t>Samples</a:t>
            </a:r>
          </a:p>
          <a:p>
            <a:pPr>
              <a:defRPr sz="2000"/>
            </a:pPr>
            <a:r>
              <a:rPr lang="en-US" sz="1400">
                <a:solidFill>
                  <a:schemeClr val="accent6"/>
                </a:solidFill>
              </a:rPr>
              <a:t>by region</a:t>
            </a:r>
            <a:endParaRPr lang="en-US" sz="1200">
              <a:solidFill>
                <a:schemeClr val="accent6"/>
              </a:solidFill>
            </a:endParaRPr>
          </a:p>
        </c:rich>
      </c:tx>
      <c:layout>
        <c:manualLayout>
          <c:xMode val="edge"/>
          <c:yMode val="edge"/>
          <c:x val="7.3610983451971201E-2"/>
          <c:y val="0.1435185185185185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51633525286951076"/>
          <c:y val="0.26750102839086859"/>
          <c:w val="0.2752378715306501"/>
          <c:h val="0.58946777486147561"/>
        </c:manualLayout>
      </c:layout>
      <c:pieChart>
        <c:varyColors val="1"/>
        <c:ser>
          <c:idx val="0"/>
          <c:order val="0"/>
          <c:tx>
            <c:strRef>
              <c:f>Charts!$B$3</c:f>
              <c:strCache>
                <c:ptCount val="1"/>
                <c:pt idx="0">
                  <c:v>Samples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2-9649-4005-804E-3F374CA98F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649-4005-804E-3F374CA98F9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9649-4005-804E-3F374CA98F9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1-9649-4005-804E-3F374CA98F9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5-9649-4005-804E-3F374CA98F93}"/>
              </c:ext>
            </c:extLst>
          </c:dPt>
          <c:dLbls>
            <c:dLbl>
              <c:idx val="0"/>
              <c:layout>
                <c:manualLayout>
                  <c:x val="-4.3233895373973194E-2"/>
                  <c:y val="-1.388888888888888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649-4005-804E-3F374CA98F93}"/>
                </c:ext>
              </c:extLst>
            </c:dLbl>
            <c:dLbl>
              <c:idx val="1"/>
              <c:layout>
                <c:manualLayout>
                  <c:x val="2.3778642455685256E-2"/>
                  <c:y val="1.85185185185185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649-4005-804E-3F374CA98F93}"/>
                </c:ext>
              </c:extLst>
            </c:dLbl>
            <c:dLbl>
              <c:idx val="2"/>
              <c:layout>
                <c:manualLayout>
                  <c:x val="6.4850843060959796E-3"/>
                  <c:y val="2.314814814814814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649-4005-804E-3F374CA98F93}"/>
                </c:ext>
              </c:extLst>
            </c:dLbl>
            <c:dLbl>
              <c:idx val="3"/>
              <c:layout>
                <c:manualLayout>
                  <c:x val="-5.4042369217466496E-2"/>
                  <c:y val="-1.38888888888890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649-4005-804E-3F374CA98F93}"/>
                </c:ext>
              </c:extLst>
            </c:dLbl>
            <c:dLbl>
              <c:idx val="4"/>
              <c:layout>
                <c:manualLayout>
                  <c:x val="2.16169476869862E-3"/>
                  <c:y val="2.777777777777777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649-4005-804E-3F374CA98F9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Charts!$A$4:$A$8</c:f>
              <c:strCache>
                <c:ptCount val="5"/>
                <c:pt idx="0">
                  <c:v>Henley-in-Arden</c:v>
                </c:pt>
                <c:pt idx="1">
                  <c:v>Pershore</c:v>
                </c:pt>
                <c:pt idx="2">
                  <c:v>Shipston</c:v>
                </c:pt>
                <c:pt idx="3">
                  <c:v>Stratford</c:v>
                </c:pt>
                <c:pt idx="4">
                  <c:v>Tewkesbury</c:v>
                </c:pt>
              </c:strCache>
            </c:strRef>
          </c:cat>
          <c:val>
            <c:numRef>
              <c:f>Charts!$B$4:$B$8</c:f>
              <c:numCache>
                <c:formatCode>General</c:formatCode>
                <c:ptCount val="5"/>
                <c:pt idx="0">
                  <c:v>29</c:v>
                </c:pt>
                <c:pt idx="1">
                  <c:v>50</c:v>
                </c:pt>
                <c:pt idx="2">
                  <c:v>143</c:v>
                </c:pt>
                <c:pt idx="3">
                  <c:v>330</c:v>
                </c:pt>
                <c:pt idx="4">
                  <c:v>184</c:v>
                </c:pt>
              </c:numCache>
            </c:numRef>
          </c:val>
          <c:extLst>
            <c:ext xmlns:c16="http://schemas.microsoft.com/office/drawing/2014/chart" uri="{C3380CC4-5D6E-409C-BE32-E72D297353CC}">
              <c16:uniqueId val="{00000000-9649-4005-804E-3F374CA98F93}"/>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000"/>
              <a:t>Unique</a:t>
            </a:r>
            <a:r>
              <a:rPr lang="en-US" sz="2000" baseline="0"/>
              <a:t> </a:t>
            </a:r>
            <a:r>
              <a:rPr lang="en-US" sz="2000"/>
              <a:t>Sites</a:t>
            </a:r>
            <a:r>
              <a:rPr lang="en-US" sz="2000" baseline="0"/>
              <a:t> Sampled</a:t>
            </a:r>
            <a:endParaRPr lang="en-US" sz="2000"/>
          </a:p>
        </c:rich>
      </c:tx>
      <c:layout>
        <c:manualLayout>
          <c:xMode val="edge"/>
          <c:yMode val="edge"/>
          <c:x val="0.10038412580401698"/>
          <c:y val="6.0075287015760821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8.6656377255168685E-2"/>
          <c:y val="0.24115063680281071"/>
          <c:w val="0.85311374444531052"/>
          <c:h val="0.58946777486147561"/>
        </c:manualLayout>
      </c:layout>
      <c:barChart>
        <c:barDir val="col"/>
        <c:grouping val="clustered"/>
        <c:varyColors val="0"/>
        <c: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Charts!$H$20:$H$22</c:f>
              <c:strCache>
                <c:ptCount val="3"/>
                <c:pt idx="0">
                  <c:v>Sites Sampled</c:v>
                </c:pt>
                <c:pt idx="1">
                  <c:v>Sites Sampled 10+ times</c:v>
                </c:pt>
                <c:pt idx="2">
                  <c:v>Sites Sampled Every Season</c:v>
                </c:pt>
              </c:strCache>
            </c:strRef>
          </c:cat>
          <c:val>
            <c:numRef>
              <c:f>Charts!$I$20:$I$22</c:f>
              <c:numCache>
                <c:formatCode>General</c:formatCode>
                <c:ptCount val="3"/>
                <c:pt idx="0">
                  <c:v>44</c:v>
                </c:pt>
                <c:pt idx="1">
                  <c:v>27</c:v>
                </c:pt>
                <c:pt idx="2">
                  <c:v>8</c:v>
                </c:pt>
              </c:numCache>
            </c:numRef>
          </c:val>
          <c:extLst>
            <c:ext xmlns:c16="http://schemas.microsoft.com/office/drawing/2014/chart" uri="{C3380CC4-5D6E-409C-BE32-E72D297353CC}">
              <c16:uniqueId val="{00000004-51C0-4D05-8759-3EC309F0AD26}"/>
            </c:ext>
          </c:extLst>
        </c:ser>
        <c:dLbls>
          <c:showLegendKey val="0"/>
          <c:showVal val="0"/>
          <c:showCatName val="0"/>
          <c:showSerName val="0"/>
          <c:showPercent val="0"/>
          <c:showBubbleSize val="0"/>
        </c:dLbls>
        <c:gapWidth val="100"/>
        <c:axId val="492685343"/>
        <c:axId val="492691583"/>
      </c:barChart>
      <c:catAx>
        <c:axId val="492685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492691583"/>
        <c:crosses val="autoZero"/>
        <c:auto val="1"/>
        <c:lblAlgn val="ctr"/>
        <c:lblOffset val="100"/>
        <c:noMultiLvlLbl val="0"/>
      </c:catAx>
      <c:valAx>
        <c:axId val="492691583"/>
        <c:scaling>
          <c:orientation val="minMax"/>
          <c:min val="0"/>
        </c:scaling>
        <c:delete val="1"/>
        <c:axPos val="l"/>
        <c:numFmt formatCode="General" sourceLinked="1"/>
        <c:majorTickMark val="out"/>
        <c:minorTickMark val="none"/>
        <c:tickLblPos val="nextTo"/>
        <c:crossAx val="49268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000"/>
              <a:t>Samples</a:t>
            </a:r>
          </a:p>
          <a:p>
            <a:pPr>
              <a:defRPr sz="2000"/>
            </a:pPr>
            <a:r>
              <a:rPr lang="en-US" sz="1400">
                <a:solidFill>
                  <a:schemeClr val="accent5"/>
                </a:solidFill>
              </a:rPr>
              <a:t>by river</a:t>
            </a:r>
            <a:endParaRPr lang="en-US" sz="1200">
              <a:solidFill>
                <a:schemeClr val="accent5"/>
              </a:solidFill>
            </a:endParaRPr>
          </a:p>
        </c:rich>
      </c:tx>
      <c:layout>
        <c:manualLayout>
          <c:xMode val="edge"/>
          <c:yMode val="edge"/>
          <c:x val="7.3610983451971201E-2"/>
          <c:y val="0.1435185185185185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51633525286951076"/>
          <c:y val="0.22324855024189938"/>
          <c:w val="0.3200139068437341"/>
          <c:h val="0.59475538858613552"/>
        </c:manualLayout>
      </c:layout>
      <c:pieChart>
        <c:varyColors val="1"/>
        <c:ser>
          <c:idx val="0"/>
          <c:order val="0"/>
          <c:tx>
            <c:strRef>
              <c:f>Charts!$J$3</c:f>
              <c:strCache>
                <c:ptCount val="1"/>
                <c:pt idx="0">
                  <c:v>Samples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62-4EC9-8F44-63ED3480FB7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62-4EC9-8F44-63ED3480FB7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62-4EC9-8F44-63ED3480FB7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62-4EC9-8F44-63ED3480FB7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62-4EC9-8F44-63ED3480FB7B}"/>
              </c:ext>
            </c:extLst>
          </c:dPt>
          <c:dLbls>
            <c:dLbl>
              <c:idx val="4"/>
              <c:layout>
                <c:manualLayout>
                  <c:x val="1.9900497512437811E-2"/>
                  <c:y val="-4.374453193350831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A62-4EC9-8F44-63ED3480FB7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Charts!$I$4:$I$8</c:f>
              <c:strCache>
                <c:ptCount val="5"/>
                <c:pt idx="0">
                  <c:v>Avon</c:v>
                </c:pt>
                <c:pt idx="1">
                  <c:v>Carrant</c:v>
                </c:pt>
                <c:pt idx="2">
                  <c:v>Stour</c:v>
                </c:pt>
                <c:pt idx="3">
                  <c:v>Swilgate</c:v>
                </c:pt>
                <c:pt idx="4">
                  <c:v>Other</c:v>
                </c:pt>
              </c:strCache>
            </c:strRef>
          </c:cat>
          <c:val>
            <c:numRef>
              <c:f>Charts!$J$4:$J$8</c:f>
              <c:numCache>
                <c:formatCode>General</c:formatCode>
                <c:ptCount val="5"/>
                <c:pt idx="0">
                  <c:v>335</c:v>
                </c:pt>
                <c:pt idx="1">
                  <c:v>53</c:v>
                </c:pt>
                <c:pt idx="2">
                  <c:v>211</c:v>
                </c:pt>
                <c:pt idx="3">
                  <c:v>43</c:v>
                </c:pt>
                <c:pt idx="4">
                  <c:v>94</c:v>
                </c:pt>
              </c:numCache>
            </c:numRef>
          </c:val>
          <c:extLst>
            <c:ext xmlns:c16="http://schemas.microsoft.com/office/drawing/2014/chart" uri="{C3380CC4-5D6E-409C-BE32-E72D297353CC}">
              <c16:uniqueId val="{0000000A-5A62-4EC9-8F44-63ED3480FB7B}"/>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000"/>
              <a:t>Samples</a:t>
            </a:r>
          </a:p>
          <a:p>
            <a:pPr>
              <a:defRPr sz="2000"/>
            </a:pPr>
            <a:r>
              <a:rPr lang="en-US" sz="1400">
                <a:solidFill>
                  <a:schemeClr val="accent2"/>
                </a:solidFill>
              </a:rPr>
              <a:t>by season</a:t>
            </a:r>
            <a:endParaRPr lang="en-US" sz="1200">
              <a:solidFill>
                <a:schemeClr val="accent2"/>
              </a:solidFill>
            </a:endParaRPr>
          </a:p>
        </c:rich>
      </c:tx>
      <c:layout>
        <c:manualLayout>
          <c:xMode val="edge"/>
          <c:yMode val="edge"/>
          <c:x val="7.3610983451971201E-2"/>
          <c:y val="0.1435185185185185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39338883116557966"/>
          <c:y val="0.12968126352626971"/>
          <c:w val="0.52775100250783435"/>
          <c:h val="0.68832269650504219"/>
        </c:manualLayout>
      </c:layout>
      <c:lineChart>
        <c:grouping val="standard"/>
        <c:varyColors val="0"/>
        <c:ser>
          <c:idx val="0"/>
          <c:order val="0"/>
          <c:tx>
            <c:strRef>
              <c:f>Charts!$S$3</c:f>
              <c:strCache>
                <c:ptCount val="1"/>
                <c:pt idx="0">
                  <c:v>Samples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Charts!$R$4:$R$7</c:f>
              <c:strCache>
                <c:ptCount val="4"/>
                <c:pt idx="0">
                  <c:v>Summer '23</c:v>
                </c:pt>
                <c:pt idx="1">
                  <c:v>Autumn '23</c:v>
                </c:pt>
                <c:pt idx="2">
                  <c:v>Winter '23/24</c:v>
                </c:pt>
                <c:pt idx="3">
                  <c:v>Spring '24</c:v>
                </c:pt>
              </c:strCache>
            </c:strRef>
          </c:cat>
          <c:val>
            <c:numRef>
              <c:f>Charts!$S$4:$S$7</c:f>
              <c:numCache>
                <c:formatCode>General</c:formatCode>
                <c:ptCount val="4"/>
                <c:pt idx="0">
                  <c:v>65</c:v>
                </c:pt>
                <c:pt idx="1">
                  <c:v>158</c:v>
                </c:pt>
                <c:pt idx="2">
                  <c:v>224</c:v>
                </c:pt>
                <c:pt idx="3">
                  <c:v>289</c:v>
                </c:pt>
              </c:numCache>
            </c:numRef>
          </c:val>
          <c:smooth val="0"/>
          <c:extLst>
            <c:ext xmlns:c16="http://schemas.microsoft.com/office/drawing/2014/chart" uri="{C3380CC4-5D6E-409C-BE32-E72D297353CC}">
              <c16:uniqueId val="{0000000A-2228-4255-8E82-06502EAA2553}"/>
            </c:ext>
          </c:extLst>
        </c:ser>
        <c:dLbls>
          <c:showLegendKey val="0"/>
          <c:showVal val="0"/>
          <c:showCatName val="0"/>
          <c:showSerName val="0"/>
          <c:showPercent val="0"/>
          <c:showBubbleSize val="0"/>
        </c:dLbls>
        <c:marker val="1"/>
        <c:smooth val="0"/>
        <c:axId val="2062547184"/>
        <c:axId val="2062557744"/>
      </c:lineChart>
      <c:catAx>
        <c:axId val="2062547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57744"/>
        <c:crosses val="autoZero"/>
        <c:auto val="1"/>
        <c:lblAlgn val="ctr"/>
        <c:lblOffset val="100"/>
        <c:noMultiLvlLbl val="0"/>
      </c:catAx>
      <c:valAx>
        <c:axId val="2062557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47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000"/>
              <a:t>Tests Performed</a:t>
            </a:r>
          </a:p>
        </c:rich>
      </c:tx>
      <c:layout>
        <c:manualLayout>
          <c:xMode val="edge"/>
          <c:yMode val="edge"/>
          <c:x val="6.6049301976787794E-2"/>
          <c:y val="6.0075247511057174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8.6656377255168685E-2"/>
          <c:y val="0.24115063680281071"/>
          <c:w val="0.85311374444531052"/>
          <c:h val="0.58946777486147561"/>
        </c:manualLayout>
      </c:layout>
      <c:barChart>
        <c:barDir val="col"/>
        <c:grouping val="clustered"/>
        <c:varyColors val="0"/>
        <c:ser>
          <c:idx val="0"/>
          <c:order val="0"/>
          <c:tx>
            <c:strRef>
              <c:f>Charts!$B$19</c:f>
              <c:strCache>
                <c:ptCount val="1"/>
                <c:pt idx="0">
                  <c:v>Count</c:v>
                </c:pt>
              </c:strCache>
            </c:strRef>
          </c:tx>
          <c:spPr>
            <a:solidFill>
              <a:schemeClr val="accent1"/>
            </a:solidFill>
            <a:ln w="19050">
              <a:solidFill>
                <a:schemeClr val="lt1"/>
              </a:solidFill>
            </a:ln>
            <a:effectLst/>
          </c:spPr>
          <c:invertIfNegative val="0"/>
          <c:dPt>
            <c:idx val="0"/>
            <c:invertIfNegative val="0"/>
            <c:bubble3D val="0"/>
            <c:spPr>
              <a:solidFill>
                <a:srgbClr val="FF6161"/>
              </a:solidFill>
              <a:ln w="19050">
                <a:solidFill>
                  <a:schemeClr val="lt1"/>
                </a:solidFill>
              </a:ln>
              <a:effectLst/>
            </c:spPr>
            <c:extLst>
              <c:ext xmlns:c16="http://schemas.microsoft.com/office/drawing/2014/chart" uri="{C3380CC4-5D6E-409C-BE32-E72D297353CC}">
                <c16:uniqueId val="{00000001-B2C0-4218-97E9-27B1364CCB98}"/>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5-B2C0-4218-97E9-27B1364CCB98}"/>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Charts!$A$20:$A$22</c:f>
              <c:strCache>
                <c:ptCount val="3"/>
                <c:pt idx="0">
                  <c:v>Nitrate</c:v>
                </c:pt>
                <c:pt idx="1">
                  <c:v>Phosphate</c:v>
                </c:pt>
                <c:pt idx="2">
                  <c:v>Electrical Conductivity</c:v>
                </c:pt>
              </c:strCache>
            </c:strRef>
          </c:cat>
          <c:val>
            <c:numRef>
              <c:f>Charts!$B$20:$B$22</c:f>
              <c:numCache>
                <c:formatCode>General</c:formatCode>
                <c:ptCount val="3"/>
                <c:pt idx="0">
                  <c:v>732</c:v>
                </c:pt>
                <c:pt idx="1">
                  <c:v>735</c:v>
                </c:pt>
                <c:pt idx="2">
                  <c:v>732</c:v>
                </c:pt>
              </c:numCache>
            </c:numRef>
          </c:val>
          <c:extLst>
            <c:ext xmlns:c16="http://schemas.microsoft.com/office/drawing/2014/chart" uri="{C3380CC4-5D6E-409C-BE32-E72D297353CC}">
              <c16:uniqueId val="{0000000A-B2C0-4218-97E9-27B1364CCB98}"/>
            </c:ext>
          </c:extLst>
        </c:ser>
        <c:dLbls>
          <c:dLblPos val="outEnd"/>
          <c:showLegendKey val="0"/>
          <c:showVal val="1"/>
          <c:showCatName val="0"/>
          <c:showSerName val="0"/>
          <c:showPercent val="0"/>
          <c:showBubbleSize val="0"/>
        </c:dLbls>
        <c:gapWidth val="100"/>
        <c:axId val="492685343"/>
        <c:axId val="492691583"/>
      </c:barChart>
      <c:catAx>
        <c:axId val="4926853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492691583"/>
        <c:crosses val="autoZero"/>
        <c:auto val="1"/>
        <c:lblAlgn val="ctr"/>
        <c:lblOffset val="100"/>
        <c:noMultiLvlLbl val="0"/>
      </c:catAx>
      <c:valAx>
        <c:axId val="492691583"/>
        <c:scaling>
          <c:orientation val="minMax"/>
          <c:min val="0"/>
        </c:scaling>
        <c:delete val="1"/>
        <c:axPos val="l"/>
        <c:numFmt formatCode="General" sourceLinked="1"/>
        <c:majorTickMark val="out"/>
        <c:minorTickMark val="none"/>
        <c:tickLblPos val="nextTo"/>
        <c:crossAx val="49268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000"/>
              <a:t>Unique</a:t>
            </a:r>
            <a:r>
              <a:rPr lang="en-US" sz="2000" baseline="0"/>
              <a:t> S</a:t>
            </a:r>
            <a:r>
              <a:rPr lang="en-US" sz="2000"/>
              <a:t>ites</a:t>
            </a:r>
            <a:r>
              <a:rPr lang="en-US" sz="2000" baseline="0"/>
              <a:t> Sampled</a:t>
            </a:r>
            <a:endParaRPr lang="en-US" sz="2000"/>
          </a:p>
          <a:p>
            <a:pPr algn="l">
              <a:defRPr sz="2000"/>
            </a:pPr>
            <a:r>
              <a:rPr lang="en-US" sz="1400">
                <a:solidFill>
                  <a:schemeClr val="accent2"/>
                </a:solidFill>
              </a:rPr>
              <a:t>by season</a:t>
            </a:r>
            <a:endParaRPr lang="en-US" sz="1200">
              <a:solidFill>
                <a:schemeClr val="accent2"/>
              </a:solidFill>
            </a:endParaRPr>
          </a:p>
        </c:rich>
      </c:tx>
      <c:layout>
        <c:manualLayout>
          <c:xMode val="edge"/>
          <c:yMode val="edge"/>
          <c:x val="7.361105502837785E-2"/>
          <c:y val="6.6921237312783266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1352549521053458"/>
          <c:y val="0.28573245164219785"/>
          <c:w val="0.81157861677546717"/>
          <c:h val="0.5322711586012463"/>
        </c:manualLayout>
      </c:layout>
      <c:lineChart>
        <c:grouping val="standard"/>
        <c:varyColors val="0"/>
        <c:ser>
          <c:idx val="0"/>
          <c:order val="0"/>
          <c:tx>
            <c:strRef>
              <c:f>Charts!$P$19</c:f>
              <c:strCache>
                <c:ptCount val="1"/>
                <c:pt idx="0">
                  <c:v>Sites Sampled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Charts!$O$20:$O$23</c:f>
              <c:strCache>
                <c:ptCount val="4"/>
                <c:pt idx="0">
                  <c:v>Summer '23</c:v>
                </c:pt>
                <c:pt idx="1">
                  <c:v>Autumn '23</c:v>
                </c:pt>
                <c:pt idx="2">
                  <c:v>Winter '23/24</c:v>
                </c:pt>
                <c:pt idx="3">
                  <c:v>Spring '24</c:v>
                </c:pt>
              </c:strCache>
            </c:strRef>
          </c:cat>
          <c:val>
            <c:numRef>
              <c:f>Charts!$P$20:$P$23</c:f>
              <c:numCache>
                <c:formatCode>General</c:formatCode>
                <c:ptCount val="4"/>
                <c:pt idx="0">
                  <c:v>14</c:v>
                </c:pt>
                <c:pt idx="1">
                  <c:v>22</c:v>
                </c:pt>
                <c:pt idx="2">
                  <c:v>33</c:v>
                </c:pt>
                <c:pt idx="3">
                  <c:v>32</c:v>
                </c:pt>
              </c:numCache>
            </c:numRef>
          </c:val>
          <c:smooth val="0"/>
          <c:extLst>
            <c:ext xmlns:c16="http://schemas.microsoft.com/office/drawing/2014/chart" uri="{C3380CC4-5D6E-409C-BE32-E72D297353CC}">
              <c16:uniqueId val="{00000000-2E03-4F0F-AFEB-32C4853B49CE}"/>
            </c:ext>
          </c:extLst>
        </c:ser>
        <c:dLbls>
          <c:showLegendKey val="0"/>
          <c:showVal val="0"/>
          <c:showCatName val="0"/>
          <c:showSerName val="0"/>
          <c:showPercent val="0"/>
          <c:showBubbleSize val="0"/>
        </c:dLbls>
        <c:marker val="1"/>
        <c:smooth val="0"/>
        <c:axId val="2062547184"/>
        <c:axId val="2062557744"/>
      </c:lineChart>
      <c:catAx>
        <c:axId val="2062547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57744"/>
        <c:crosses val="autoZero"/>
        <c:auto val="1"/>
        <c:lblAlgn val="ctr"/>
        <c:lblOffset val="100"/>
        <c:noMultiLvlLbl val="0"/>
      </c:catAx>
      <c:valAx>
        <c:axId val="2062557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2062547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r>
              <a:rPr lang="en-US" sz="2000"/>
              <a:t>Samples</a:t>
            </a:r>
          </a:p>
          <a:p>
            <a:pPr>
              <a:defRPr sz="2000"/>
            </a:pPr>
            <a:r>
              <a:rPr lang="en-US" sz="1400">
                <a:solidFill>
                  <a:schemeClr val="accent5"/>
                </a:solidFill>
              </a:rPr>
              <a:t>by volunteer</a:t>
            </a:r>
          </a:p>
          <a:p>
            <a:pPr>
              <a:defRPr sz="2000"/>
            </a:pPr>
            <a:endParaRPr lang="en-US" sz="1200">
              <a:solidFill>
                <a:schemeClr val="accent5"/>
              </a:solidFill>
            </a:endParaRPr>
          </a:p>
          <a:p>
            <a:pPr>
              <a:defRPr sz="2000"/>
            </a:pPr>
            <a:r>
              <a:rPr lang="en-US" sz="1200">
                <a:solidFill>
                  <a:sysClr val="windowText" lastClr="000000"/>
                </a:solidFill>
              </a:rPr>
              <a:t>57</a:t>
            </a:r>
            <a:r>
              <a:rPr lang="en-US" sz="1200" baseline="0">
                <a:solidFill>
                  <a:sysClr val="windowText" lastClr="000000"/>
                </a:solidFill>
              </a:rPr>
              <a:t> volunteers credited </a:t>
            </a:r>
            <a:endParaRPr lang="en-US" sz="1100" baseline="0">
              <a:solidFill>
                <a:sysClr val="windowText" lastClr="000000"/>
              </a:solidFill>
            </a:endParaRPr>
          </a:p>
          <a:p>
            <a:pPr>
              <a:defRPr sz="2000"/>
            </a:pPr>
            <a:r>
              <a:rPr lang="en-US" sz="1200" baseline="0">
                <a:solidFill>
                  <a:sysClr val="windowText" lastClr="000000"/>
                </a:solidFill>
              </a:rPr>
              <a:t>on EpiCollect5</a:t>
            </a:r>
            <a:endParaRPr lang="en-US" sz="1200">
              <a:solidFill>
                <a:sysClr val="windowText" lastClr="000000"/>
              </a:solidFill>
            </a:endParaRPr>
          </a:p>
        </c:rich>
      </c:tx>
      <c:layout>
        <c:manualLayout>
          <c:xMode val="edge"/>
          <c:yMode val="edge"/>
          <c:x val="5.2238805970149252E-2"/>
          <c:y val="9.5336292556071747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51633525286951076"/>
          <c:y val="0.22324855024189938"/>
          <c:w val="0.3200139068437341"/>
          <c:h val="0.59475538858613552"/>
        </c:manualLayout>
      </c:layout>
      <c:pieChart>
        <c:varyColors val="1"/>
        <c:ser>
          <c:idx val="0"/>
          <c:order val="0"/>
          <c:tx>
            <c:strRef>
              <c:f>Charts!$B$37</c:f>
              <c:strCache>
                <c:ptCount val="1"/>
                <c:pt idx="0">
                  <c:v>Entries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15A-4801-ADD6-FB1E0CF8DC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15A-4801-ADD6-FB1E0CF8DC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15A-4801-ADD6-FB1E0CF8DC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15A-4801-ADD6-FB1E0CF8DC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15A-4801-ADD6-FB1E0CF8DC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15A-4801-ADD6-FB1E0CF8DC3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C-D15A-4801-ADD6-FB1E0CF8DC32}"/>
              </c:ext>
            </c:extLst>
          </c:dPt>
          <c:dLbls>
            <c:dLbl>
              <c:idx val="0"/>
              <c:layout>
                <c:manualLayout>
                  <c:x val="0"/>
                  <c:y val="-2.622950819672131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15A-4801-ADD6-FB1E0CF8DC32}"/>
                </c:ext>
              </c:extLst>
            </c:dLbl>
            <c:dLbl>
              <c:idx val="1"/>
              <c:layout>
                <c:manualLayout>
                  <c:x val="1.990049751243772E-2"/>
                  <c:y val="-4.371584699453551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15A-4801-ADD6-FB1E0CF8DC32}"/>
                </c:ext>
              </c:extLst>
            </c:dLbl>
            <c:dLbl>
              <c:idx val="2"/>
              <c:layout>
                <c:manualLayout>
                  <c:x val="9.9502487562190874E-3"/>
                  <c:y val="-2.18579234972677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15A-4801-ADD6-FB1E0CF8DC32}"/>
                </c:ext>
              </c:extLst>
            </c:dLbl>
            <c:dLbl>
              <c:idx val="3"/>
              <c:layout>
                <c:manualLayout>
                  <c:x val="0"/>
                  <c:y val="1.31147540983606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15A-4801-ADD6-FB1E0CF8DC32}"/>
                </c:ext>
              </c:extLst>
            </c:dLbl>
            <c:dLbl>
              <c:idx val="5"/>
              <c:layout>
                <c:manualLayout>
                  <c:x val="-2.4875621890547355E-2"/>
                  <c:y val="1.74863387978141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15A-4801-ADD6-FB1E0CF8DC32}"/>
                </c:ext>
              </c:extLst>
            </c:dLbl>
            <c:dLbl>
              <c:idx val="6"/>
              <c:layout>
                <c:manualLayout>
                  <c:x val="0"/>
                  <c:y val="-6.120218579234973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15A-4801-ADD6-FB1E0CF8DC3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Charts!$A$38:$A$44</c:f>
              <c:strCache>
                <c:ptCount val="7"/>
                <c:pt idx="0">
                  <c:v>Anna P</c:v>
                </c:pt>
                <c:pt idx="1">
                  <c:v>Geoff</c:v>
                </c:pt>
                <c:pt idx="2">
                  <c:v>Helen C</c:v>
                </c:pt>
                <c:pt idx="3">
                  <c:v>Martin</c:v>
                </c:pt>
                <c:pt idx="4">
                  <c:v>Others</c:v>
                </c:pt>
                <c:pt idx="5">
                  <c:v>Steve G</c:v>
                </c:pt>
                <c:pt idx="6">
                  <c:v>Trevor</c:v>
                </c:pt>
              </c:strCache>
            </c:strRef>
          </c:cat>
          <c:val>
            <c:numRef>
              <c:f>Charts!$B$38:$B$44</c:f>
              <c:numCache>
                <c:formatCode>General</c:formatCode>
                <c:ptCount val="7"/>
                <c:pt idx="0">
                  <c:v>52</c:v>
                </c:pt>
                <c:pt idx="1">
                  <c:v>68</c:v>
                </c:pt>
                <c:pt idx="2">
                  <c:v>41</c:v>
                </c:pt>
                <c:pt idx="3">
                  <c:v>60</c:v>
                </c:pt>
                <c:pt idx="4">
                  <c:v>439</c:v>
                </c:pt>
                <c:pt idx="5">
                  <c:v>40</c:v>
                </c:pt>
                <c:pt idx="6">
                  <c:v>36</c:v>
                </c:pt>
              </c:numCache>
            </c:numRef>
          </c:val>
          <c:extLst>
            <c:ext xmlns:c16="http://schemas.microsoft.com/office/drawing/2014/chart" uri="{C3380CC4-5D6E-409C-BE32-E72D297353CC}">
              <c16:uniqueId val="{0000000A-D15A-4801-ADD6-FB1E0CF8DC32}"/>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Bahnschrift" panose="020B0502040204020203" pitchFamily="34" charset="0"/>
                <a:ea typeface="+mn-ea"/>
                <a:cs typeface="+mn-cs"/>
              </a:defRPr>
            </a:pPr>
            <a:r>
              <a:rPr lang="en-GB"/>
              <a:t>Pollution Thresholds</a:t>
            </a:r>
          </a:p>
          <a:p>
            <a:pPr>
              <a:defRPr/>
            </a:pPr>
            <a:r>
              <a:rPr lang="en-GB" i="1">
                <a:solidFill>
                  <a:schemeClr val="accent5"/>
                </a:solidFill>
              </a:rPr>
              <a:t>parts per million</a:t>
            </a:r>
          </a:p>
        </c:rich>
      </c:tx>
      <c:layout>
        <c:manualLayout>
          <c:xMode val="edge"/>
          <c:yMode val="edge"/>
          <c:x val="7.1232253923238648E-2"/>
          <c:y val="2.833111601452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manualLayout>
          <c:layoutTarget val="inner"/>
          <c:xMode val="edge"/>
          <c:yMode val="edge"/>
          <c:x val="0.22095111060373462"/>
          <c:y val="0.29324489712263496"/>
          <c:w val="0.77904888939626538"/>
          <c:h val="0.69013901487467244"/>
        </c:manualLayout>
      </c:layout>
      <c:barChart>
        <c:barDir val="bar"/>
        <c:grouping val="clustered"/>
        <c:varyColors val="0"/>
        <c:ser>
          <c:idx val="0"/>
          <c:order val="0"/>
          <c:tx>
            <c:strRef>
              <c:f>Charts!$A$54</c:f>
              <c:strCache>
                <c:ptCount val="1"/>
                <c:pt idx="0">
                  <c:v>Nitrate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Charts!$B$53:$E$53</c:f>
              <c:strCache>
                <c:ptCount val="4"/>
                <c:pt idx="0">
                  <c:v>No evidence</c:v>
                </c:pt>
                <c:pt idx="1">
                  <c:v>Some evidence</c:v>
                </c:pt>
                <c:pt idx="2">
                  <c:v>High levels</c:v>
                </c:pt>
                <c:pt idx="3">
                  <c:v>Very high levels</c:v>
                </c:pt>
              </c:strCache>
            </c:strRef>
          </c:cat>
          <c:val>
            <c:numRef>
              <c:f>Charts!$B$54:$E$54</c:f>
              <c:numCache>
                <c:formatCode>0.0</c:formatCode>
                <c:ptCount val="4"/>
                <c:pt idx="0">
                  <c:v>0</c:v>
                </c:pt>
                <c:pt idx="1">
                  <c:v>0.5</c:v>
                </c:pt>
                <c:pt idx="2">
                  <c:v>1</c:v>
                </c:pt>
                <c:pt idx="3">
                  <c:v>2</c:v>
                </c:pt>
              </c:numCache>
            </c:numRef>
          </c:val>
          <c:extLst>
            <c:ext xmlns:c16="http://schemas.microsoft.com/office/drawing/2014/chart" uri="{C3380CC4-5D6E-409C-BE32-E72D297353CC}">
              <c16:uniqueId val="{00000000-D523-41DA-A185-91ADDDF1DCA9}"/>
            </c:ext>
          </c:extLst>
        </c:ser>
        <c:ser>
          <c:idx val="1"/>
          <c:order val="1"/>
          <c:tx>
            <c:strRef>
              <c:f>Charts!$A$55</c:f>
              <c:strCache>
                <c:ptCount val="1"/>
                <c:pt idx="0">
                  <c:v>Phosphate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Charts!$B$53:$E$53</c:f>
              <c:strCache>
                <c:ptCount val="4"/>
                <c:pt idx="0">
                  <c:v>No evidence</c:v>
                </c:pt>
                <c:pt idx="1">
                  <c:v>Some evidence</c:v>
                </c:pt>
                <c:pt idx="2">
                  <c:v>High levels</c:v>
                </c:pt>
                <c:pt idx="3">
                  <c:v>Very high levels</c:v>
                </c:pt>
              </c:strCache>
            </c:strRef>
          </c:cat>
          <c:val>
            <c:numRef>
              <c:f>Charts!$B$55:$E$55</c:f>
              <c:numCache>
                <c:formatCode>0.00</c:formatCode>
                <c:ptCount val="4"/>
                <c:pt idx="0">
                  <c:v>0</c:v>
                </c:pt>
                <c:pt idx="1">
                  <c:v>0.05</c:v>
                </c:pt>
                <c:pt idx="2">
                  <c:v>0.1</c:v>
                </c:pt>
                <c:pt idx="3">
                  <c:v>0.5</c:v>
                </c:pt>
              </c:numCache>
            </c:numRef>
          </c:val>
          <c:extLst>
            <c:ext xmlns:c16="http://schemas.microsoft.com/office/drawing/2014/chart" uri="{C3380CC4-5D6E-409C-BE32-E72D297353CC}">
              <c16:uniqueId val="{00000001-D523-41DA-A185-91ADDDF1DCA9}"/>
            </c:ext>
          </c:extLst>
        </c:ser>
        <c:dLbls>
          <c:dLblPos val="outEnd"/>
          <c:showLegendKey val="0"/>
          <c:showVal val="1"/>
          <c:showCatName val="0"/>
          <c:showSerName val="0"/>
          <c:showPercent val="0"/>
          <c:showBubbleSize val="0"/>
        </c:dLbls>
        <c:gapWidth val="182"/>
        <c:axId val="492674783"/>
        <c:axId val="492669983"/>
      </c:barChart>
      <c:catAx>
        <c:axId val="492674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492669983"/>
        <c:crosses val="autoZero"/>
        <c:auto val="1"/>
        <c:lblAlgn val="ctr"/>
        <c:lblOffset val="100"/>
        <c:noMultiLvlLbl val="0"/>
      </c:catAx>
      <c:valAx>
        <c:axId val="492669983"/>
        <c:scaling>
          <c:orientation val="minMax"/>
        </c:scaling>
        <c:delete val="1"/>
        <c:axPos val="b"/>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492674783"/>
        <c:crosses val="autoZero"/>
        <c:crossBetween val="between"/>
      </c:valAx>
      <c:spPr>
        <a:noFill/>
        <a:ln w="25400">
          <a:noFill/>
        </a:ln>
        <a:effectLst/>
      </c:spPr>
    </c:plotArea>
    <c:legend>
      <c:legendPos val="t"/>
      <c:layout>
        <c:manualLayout>
          <c:xMode val="edge"/>
          <c:yMode val="edge"/>
          <c:x val="0.31469585950745094"/>
          <c:y val="0.19339528069415696"/>
          <c:w val="0.33450510818416795"/>
          <c:h val="6.75629377126311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Bahnschrift" panose="020B0502040204020203" pitchFamily="34" charset="0"/>
                <a:ea typeface="+mn-ea"/>
                <a:cs typeface="+mn-cs"/>
              </a:defRPr>
            </a:pPr>
            <a:r>
              <a:rPr lang="en-GB" b="1">
                <a:solidFill>
                  <a:srgbClr val="FF6161"/>
                </a:solidFill>
              </a:rPr>
              <a:t>Nitrate</a:t>
            </a:r>
            <a:endParaRPr lang="en-GB" b="1" baseline="0">
              <a:solidFill>
                <a:srgbClr val="FF6161"/>
              </a:solidFill>
            </a:endParaRPr>
          </a:p>
          <a:p>
            <a:pPr>
              <a:defRPr/>
            </a:pPr>
            <a:r>
              <a:rPr lang="en-GB" i="1" baseline="0"/>
              <a:t>parts per million</a:t>
            </a:r>
            <a:endParaRPr lang="en-GB" i="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barChart>
        <c:barDir val="col"/>
        <c:grouping val="clustered"/>
        <c:varyColors val="0"/>
        <c:ser>
          <c:idx val="0"/>
          <c:order val="0"/>
          <c:tx>
            <c:strRef>
              <c:f>Charts!$B$74</c:f>
              <c:strCache>
                <c:ptCount val="1"/>
                <c:pt idx="0">
                  <c:v>Avon</c:v>
                </c:pt>
              </c:strCache>
            </c:strRef>
          </c:tx>
          <c:spPr>
            <a:pattFill prst="dkDnDiag">
              <a:fgClr>
                <a:srgbClr val="FF6161"/>
              </a:fgClr>
              <a:bgClr>
                <a:schemeClr val="bg1"/>
              </a:bgClr>
            </a:pattFill>
            <a:ln>
              <a:solidFill>
                <a:srgbClr val="FF616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Charts!$A$75:$A$79</c:f>
              <c:strCache>
                <c:ptCount val="5"/>
                <c:pt idx="0">
                  <c:v>Summer '23</c:v>
                </c:pt>
                <c:pt idx="1">
                  <c:v>Autumn '23</c:v>
                </c:pt>
                <c:pt idx="2">
                  <c:v>Winter '23/24</c:v>
                </c:pt>
                <c:pt idx="3">
                  <c:v>Spring '24</c:v>
                </c:pt>
                <c:pt idx="4">
                  <c:v>Year Average</c:v>
                </c:pt>
              </c:strCache>
            </c:strRef>
          </c:cat>
          <c:val>
            <c:numRef>
              <c:f>Charts!$B$75:$B$79</c:f>
              <c:numCache>
                <c:formatCode>0.0</c:formatCode>
                <c:ptCount val="5"/>
                <c:pt idx="0">
                  <c:v>7.4363636363636365</c:v>
                </c:pt>
                <c:pt idx="1">
                  <c:v>7.2349999999999994</c:v>
                </c:pt>
                <c:pt idx="2">
                  <c:v>7.202247191011236</c:v>
                </c:pt>
                <c:pt idx="3">
                  <c:v>7.1010101010101012</c:v>
                </c:pt>
                <c:pt idx="4">
                  <c:v>7.2436552320962431</c:v>
                </c:pt>
              </c:numCache>
            </c:numRef>
          </c:val>
          <c:extLst>
            <c:ext xmlns:c16="http://schemas.microsoft.com/office/drawing/2014/chart" uri="{C3380CC4-5D6E-409C-BE32-E72D297353CC}">
              <c16:uniqueId val="{00000000-55BC-4FE2-8533-2624D5AEB642}"/>
            </c:ext>
          </c:extLst>
        </c:ser>
        <c:ser>
          <c:idx val="1"/>
          <c:order val="1"/>
          <c:tx>
            <c:strRef>
              <c:f>Charts!$C$74</c:f>
              <c:strCache>
                <c:ptCount val="1"/>
                <c:pt idx="0">
                  <c:v>Stour</c:v>
                </c:pt>
              </c:strCache>
            </c:strRef>
          </c:tx>
          <c:spPr>
            <a:pattFill prst="pct90">
              <a:fgClr>
                <a:srgbClr val="FF6161"/>
              </a:fgClr>
              <a:bgClr>
                <a:schemeClr val="bg1"/>
              </a:bgClr>
            </a:pattFill>
            <a:ln>
              <a:solidFill>
                <a:srgbClr val="FF616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Charts!$A$75:$A$79</c:f>
              <c:strCache>
                <c:ptCount val="5"/>
                <c:pt idx="0">
                  <c:v>Summer '23</c:v>
                </c:pt>
                <c:pt idx="1">
                  <c:v>Autumn '23</c:v>
                </c:pt>
                <c:pt idx="2">
                  <c:v>Winter '23/24</c:v>
                </c:pt>
                <c:pt idx="3">
                  <c:v>Spring '24</c:v>
                </c:pt>
                <c:pt idx="4">
                  <c:v>Year Average</c:v>
                </c:pt>
              </c:strCache>
            </c:strRef>
          </c:cat>
          <c:val>
            <c:numRef>
              <c:f>Charts!$C$75:$C$79</c:f>
              <c:numCache>
                <c:formatCode>0.0</c:formatCode>
                <c:ptCount val="5"/>
                <c:pt idx="0">
                  <c:v>3.5</c:v>
                </c:pt>
                <c:pt idx="1">
                  <c:v>5.7159090909090908</c:v>
                </c:pt>
                <c:pt idx="2">
                  <c:v>4.0594936708860754</c:v>
                </c:pt>
                <c:pt idx="3">
                  <c:v>4.0612941176470585</c:v>
                </c:pt>
                <c:pt idx="4">
                  <c:v>4.3341742198605555</c:v>
                </c:pt>
              </c:numCache>
            </c:numRef>
          </c:val>
          <c:extLst>
            <c:ext xmlns:c16="http://schemas.microsoft.com/office/drawing/2014/chart" uri="{C3380CC4-5D6E-409C-BE32-E72D297353CC}">
              <c16:uniqueId val="{00000001-55BC-4FE2-8533-2624D5AEB642}"/>
            </c:ext>
          </c:extLst>
        </c:ser>
        <c:ser>
          <c:idx val="2"/>
          <c:order val="2"/>
          <c:tx>
            <c:strRef>
              <c:f>Charts!$D$74</c:f>
              <c:strCache>
                <c:ptCount val="1"/>
                <c:pt idx="0">
                  <c:v>"Very high levels of pollution"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Charts!$A$75:$A$79</c:f>
              <c:strCache>
                <c:ptCount val="5"/>
                <c:pt idx="0">
                  <c:v>Summer '23</c:v>
                </c:pt>
                <c:pt idx="1">
                  <c:v>Autumn '23</c:v>
                </c:pt>
                <c:pt idx="2">
                  <c:v>Winter '23/24</c:v>
                </c:pt>
                <c:pt idx="3">
                  <c:v>Spring '24</c:v>
                </c:pt>
                <c:pt idx="4">
                  <c:v>Year Average</c:v>
                </c:pt>
              </c:strCache>
            </c:strRef>
          </c:cat>
          <c:val>
            <c:numRef>
              <c:f>Charts!$D$75:$D$79</c:f>
              <c:numCache>
                <c:formatCode>0.0</c:formatCode>
                <c:ptCount val="5"/>
                <c:pt idx="4">
                  <c:v>2</c:v>
                </c:pt>
              </c:numCache>
            </c:numRef>
          </c:val>
          <c:extLst>
            <c:ext xmlns:c16="http://schemas.microsoft.com/office/drawing/2014/chart" uri="{C3380CC4-5D6E-409C-BE32-E72D297353CC}">
              <c16:uniqueId val="{00000002-55BC-4FE2-8533-2624D5AEB642}"/>
            </c:ext>
          </c:extLst>
        </c:ser>
        <c:ser>
          <c:idx val="3"/>
          <c:order val="3"/>
          <c:tx>
            <c:strRef>
              <c:f>Charts!$E$74</c:f>
              <c:strCache>
                <c:ptCount val="1"/>
                <c:pt idx="0">
                  <c:v>"No evidence of pollution"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Charts!$A$75:$A$79</c:f>
              <c:strCache>
                <c:ptCount val="5"/>
                <c:pt idx="0">
                  <c:v>Summer '23</c:v>
                </c:pt>
                <c:pt idx="1">
                  <c:v>Autumn '23</c:v>
                </c:pt>
                <c:pt idx="2">
                  <c:v>Winter '23/24</c:v>
                </c:pt>
                <c:pt idx="3">
                  <c:v>Spring '24</c:v>
                </c:pt>
                <c:pt idx="4">
                  <c:v>Year Average</c:v>
                </c:pt>
              </c:strCache>
            </c:strRef>
          </c:cat>
          <c:val>
            <c:numRef>
              <c:f>Charts!$E$75:$E$79</c:f>
              <c:numCache>
                <c:formatCode>General</c:formatCode>
                <c:ptCount val="5"/>
                <c:pt idx="4">
                  <c:v>0.5</c:v>
                </c:pt>
              </c:numCache>
            </c:numRef>
          </c:val>
          <c:extLst>
            <c:ext xmlns:c16="http://schemas.microsoft.com/office/drawing/2014/chart" uri="{C3380CC4-5D6E-409C-BE32-E72D297353CC}">
              <c16:uniqueId val="{00000004-55BC-4FE2-8533-2624D5AEB642}"/>
            </c:ext>
          </c:extLst>
        </c:ser>
        <c:dLbls>
          <c:dLblPos val="outEnd"/>
          <c:showLegendKey val="0"/>
          <c:showVal val="1"/>
          <c:showCatName val="0"/>
          <c:showSerName val="0"/>
          <c:showPercent val="0"/>
          <c:showBubbleSize val="0"/>
        </c:dLbls>
        <c:gapWidth val="219"/>
        <c:overlap val="-27"/>
        <c:axId val="469945391"/>
        <c:axId val="469935311"/>
      </c:barChart>
      <c:catAx>
        <c:axId val="46994539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469935311"/>
        <c:crosses val="autoZero"/>
        <c:auto val="1"/>
        <c:lblAlgn val="ctr"/>
        <c:lblOffset val="100"/>
        <c:noMultiLvlLbl val="0"/>
      </c:catAx>
      <c:valAx>
        <c:axId val="469935311"/>
        <c:scaling>
          <c:orientation val="minMax"/>
        </c:scaling>
        <c:delete val="1"/>
        <c:axPos val="l"/>
        <c:numFmt formatCode="0.0" sourceLinked="1"/>
        <c:majorTickMark val="none"/>
        <c:minorTickMark val="none"/>
        <c:tickLblPos val="nextTo"/>
        <c:crossAx val="469945391"/>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Bahnschrift" panose="020B0502040204020203" pitchFamily="34" charset="0"/>
                <a:ea typeface="+mn-ea"/>
                <a:cs typeface="+mn-cs"/>
              </a:defRPr>
            </a:pPr>
            <a:r>
              <a:rPr lang="en-GB" b="1">
                <a:solidFill>
                  <a:schemeClr val="accent5"/>
                </a:solidFill>
              </a:rPr>
              <a:t>Phosphate</a:t>
            </a:r>
            <a:endParaRPr lang="en-GB" b="1" baseline="0">
              <a:solidFill>
                <a:schemeClr val="accent5"/>
              </a:solidFill>
            </a:endParaRPr>
          </a:p>
          <a:p>
            <a:pPr>
              <a:defRPr/>
            </a:pPr>
            <a:r>
              <a:rPr lang="en-GB" i="1" baseline="0"/>
              <a:t>parts per million</a:t>
            </a:r>
            <a:endParaRPr lang="en-GB" i="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Bahnschrift" panose="020B0502040204020203" pitchFamily="34" charset="0"/>
              <a:ea typeface="+mn-ea"/>
              <a:cs typeface="+mn-cs"/>
            </a:defRPr>
          </a:pPr>
          <a:endParaRPr lang="en-US"/>
        </a:p>
      </c:txPr>
    </c:title>
    <c:autoTitleDeleted val="0"/>
    <c:plotArea>
      <c:layout/>
      <c:barChart>
        <c:barDir val="col"/>
        <c:grouping val="clustered"/>
        <c:varyColors val="0"/>
        <c:ser>
          <c:idx val="0"/>
          <c:order val="0"/>
          <c:tx>
            <c:strRef>
              <c:f>Charts!$R$74</c:f>
              <c:strCache>
                <c:ptCount val="1"/>
                <c:pt idx="0">
                  <c:v>Avon</c:v>
                </c:pt>
              </c:strCache>
            </c:strRef>
          </c:tx>
          <c:spPr>
            <a:pattFill prst="dkDnDiag">
              <a:fgClr>
                <a:schemeClr val="accent1"/>
              </a:fgClr>
              <a:bgClr>
                <a:schemeClr val="bg1"/>
              </a:bgClr>
            </a:patt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Charts!$Q$75:$Q$79</c:f>
              <c:strCache>
                <c:ptCount val="5"/>
                <c:pt idx="0">
                  <c:v>Summer '23</c:v>
                </c:pt>
                <c:pt idx="1">
                  <c:v>Autumn '23</c:v>
                </c:pt>
                <c:pt idx="2">
                  <c:v>Winter '23/24</c:v>
                </c:pt>
                <c:pt idx="3">
                  <c:v>Spring '24</c:v>
                </c:pt>
                <c:pt idx="4">
                  <c:v>Year Average</c:v>
                </c:pt>
              </c:strCache>
            </c:strRef>
          </c:cat>
          <c:val>
            <c:numRef>
              <c:f>Charts!$R$75:$R$79</c:f>
              <c:numCache>
                <c:formatCode>0.00</c:formatCode>
                <c:ptCount val="5"/>
                <c:pt idx="0">
                  <c:v>0.71767857142857161</c:v>
                </c:pt>
                <c:pt idx="1">
                  <c:v>0.68923076923076931</c:v>
                </c:pt>
                <c:pt idx="2">
                  <c:v>0.59359550561797747</c:v>
                </c:pt>
                <c:pt idx="3">
                  <c:v>0.50111111111111117</c:v>
                </c:pt>
                <c:pt idx="4">
                  <c:v>0.62540398934710739</c:v>
                </c:pt>
              </c:numCache>
            </c:numRef>
          </c:val>
          <c:extLst>
            <c:ext xmlns:c16="http://schemas.microsoft.com/office/drawing/2014/chart" uri="{C3380CC4-5D6E-409C-BE32-E72D297353CC}">
              <c16:uniqueId val="{00000000-1426-4BF3-806B-8617AD69B1DE}"/>
            </c:ext>
          </c:extLst>
        </c:ser>
        <c:ser>
          <c:idx val="1"/>
          <c:order val="1"/>
          <c:tx>
            <c:strRef>
              <c:f>Charts!$S$74</c:f>
              <c:strCache>
                <c:ptCount val="1"/>
                <c:pt idx="0">
                  <c:v>Stour</c:v>
                </c:pt>
              </c:strCache>
            </c:strRef>
          </c:tx>
          <c:spPr>
            <a:pattFill prst="pct90">
              <a:fgClr>
                <a:schemeClr val="accent1"/>
              </a:fgClr>
              <a:bgClr>
                <a:schemeClr val="bg1"/>
              </a:bgClr>
            </a:patt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Charts!$Q$75:$Q$79</c:f>
              <c:strCache>
                <c:ptCount val="5"/>
                <c:pt idx="0">
                  <c:v>Summer '23</c:v>
                </c:pt>
                <c:pt idx="1">
                  <c:v>Autumn '23</c:v>
                </c:pt>
                <c:pt idx="2">
                  <c:v>Winter '23/24</c:v>
                </c:pt>
                <c:pt idx="3">
                  <c:v>Spring '24</c:v>
                </c:pt>
                <c:pt idx="4">
                  <c:v>Year Average</c:v>
                </c:pt>
              </c:strCache>
            </c:strRef>
          </c:cat>
          <c:val>
            <c:numRef>
              <c:f>Charts!$S$75:$S$79</c:f>
              <c:numCache>
                <c:formatCode>0.00</c:formatCode>
                <c:ptCount val="5"/>
                <c:pt idx="0">
                  <c:v>0.66500000000000004</c:v>
                </c:pt>
                <c:pt idx="1">
                  <c:v>0.51777777777777767</c:v>
                </c:pt>
                <c:pt idx="2">
                  <c:v>0.53126582278481005</c:v>
                </c:pt>
                <c:pt idx="3">
                  <c:v>0.66176470588235292</c:v>
                </c:pt>
                <c:pt idx="4">
                  <c:v>0.59395207661123517</c:v>
                </c:pt>
              </c:numCache>
            </c:numRef>
          </c:val>
          <c:extLst>
            <c:ext xmlns:c16="http://schemas.microsoft.com/office/drawing/2014/chart" uri="{C3380CC4-5D6E-409C-BE32-E72D297353CC}">
              <c16:uniqueId val="{00000001-1426-4BF3-806B-8617AD69B1DE}"/>
            </c:ext>
          </c:extLst>
        </c:ser>
        <c:ser>
          <c:idx val="2"/>
          <c:order val="2"/>
          <c:tx>
            <c:strRef>
              <c:f>Charts!$T$74</c:f>
              <c:strCache>
                <c:ptCount val="1"/>
                <c:pt idx="0">
                  <c:v>"Very high levels of pollution"</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Charts!$Q$75:$Q$79</c:f>
              <c:strCache>
                <c:ptCount val="5"/>
                <c:pt idx="0">
                  <c:v>Summer '23</c:v>
                </c:pt>
                <c:pt idx="1">
                  <c:v>Autumn '23</c:v>
                </c:pt>
                <c:pt idx="2">
                  <c:v>Winter '23/24</c:v>
                </c:pt>
                <c:pt idx="3">
                  <c:v>Spring '24</c:v>
                </c:pt>
                <c:pt idx="4">
                  <c:v>Year Average</c:v>
                </c:pt>
              </c:strCache>
            </c:strRef>
          </c:cat>
          <c:val>
            <c:numRef>
              <c:f>Charts!$T$75:$T$79</c:f>
              <c:numCache>
                <c:formatCode>0.00</c:formatCode>
                <c:ptCount val="5"/>
                <c:pt idx="4">
                  <c:v>0.5</c:v>
                </c:pt>
              </c:numCache>
            </c:numRef>
          </c:val>
          <c:extLst>
            <c:ext xmlns:c16="http://schemas.microsoft.com/office/drawing/2014/chart" uri="{C3380CC4-5D6E-409C-BE32-E72D297353CC}">
              <c16:uniqueId val="{00000002-1426-4BF3-806B-8617AD69B1DE}"/>
            </c:ext>
          </c:extLst>
        </c:ser>
        <c:ser>
          <c:idx val="3"/>
          <c:order val="3"/>
          <c:tx>
            <c:strRef>
              <c:f>Charts!$U$74</c:f>
              <c:strCache>
                <c:ptCount val="1"/>
                <c:pt idx="0">
                  <c:v>"No evidence of pollution"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ahnschrift" panose="020B05020402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Charts!$Q$75:$Q$79</c:f>
              <c:strCache>
                <c:ptCount val="5"/>
                <c:pt idx="0">
                  <c:v>Summer '23</c:v>
                </c:pt>
                <c:pt idx="1">
                  <c:v>Autumn '23</c:v>
                </c:pt>
                <c:pt idx="2">
                  <c:v>Winter '23/24</c:v>
                </c:pt>
                <c:pt idx="3">
                  <c:v>Spring '24</c:v>
                </c:pt>
                <c:pt idx="4">
                  <c:v>Year Average</c:v>
                </c:pt>
              </c:strCache>
            </c:strRef>
          </c:cat>
          <c:val>
            <c:numRef>
              <c:f>Charts!$U$75:$U$79</c:f>
              <c:numCache>
                <c:formatCode>0.00</c:formatCode>
                <c:ptCount val="5"/>
                <c:pt idx="4">
                  <c:v>0.05</c:v>
                </c:pt>
              </c:numCache>
            </c:numRef>
          </c:val>
          <c:extLst>
            <c:ext xmlns:c16="http://schemas.microsoft.com/office/drawing/2014/chart" uri="{C3380CC4-5D6E-409C-BE32-E72D297353CC}">
              <c16:uniqueId val="{00000003-1426-4BF3-806B-8617AD69B1DE}"/>
            </c:ext>
          </c:extLst>
        </c:ser>
        <c:dLbls>
          <c:dLblPos val="outEnd"/>
          <c:showLegendKey val="0"/>
          <c:showVal val="1"/>
          <c:showCatName val="0"/>
          <c:showSerName val="0"/>
          <c:showPercent val="0"/>
          <c:showBubbleSize val="0"/>
        </c:dLbls>
        <c:gapWidth val="219"/>
        <c:overlap val="-27"/>
        <c:axId val="469945391"/>
        <c:axId val="469935311"/>
      </c:barChart>
      <c:catAx>
        <c:axId val="46994539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crossAx val="469935311"/>
        <c:crosses val="autoZero"/>
        <c:auto val="1"/>
        <c:lblAlgn val="ctr"/>
        <c:lblOffset val="100"/>
        <c:noMultiLvlLbl val="0"/>
      </c:catAx>
      <c:valAx>
        <c:axId val="469935311"/>
        <c:scaling>
          <c:orientation val="minMax"/>
        </c:scaling>
        <c:delete val="1"/>
        <c:axPos val="l"/>
        <c:numFmt formatCode="0.00" sourceLinked="1"/>
        <c:majorTickMark val="none"/>
        <c:minorTickMark val="none"/>
        <c:tickLblPos val="nextTo"/>
        <c:crossAx val="4699453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Bahnschrift" panose="020B0502040204020203"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12"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48714</xdr:colOff>
      <xdr:row>1</xdr:row>
      <xdr:rowOff>48954</xdr:rowOff>
    </xdr:from>
    <xdr:to>
      <xdr:col>7</xdr:col>
      <xdr:colOff>299357</xdr:colOff>
      <xdr:row>16</xdr:row>
      <xdr:rowOff>136070</xdr:rowOff>
    </xdr:to>
    <xdr:graphicFrame macro="">
      <xdr:nvGraphicFramePr>
        <xdr:cNvPr id="2" name="Chart 1">
          <a:extLst>
            <a:ext uri="{FF2B5EF4-FFF2-40B4-BE49-F238E27FC236}">
              <a16:creationId xmlns:a16="http://schemas.microsoft.com/office/drawing/2014/main" id="{D6E0F5A7-9CF0-4E22-684A-84A5EEC715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344805</xdr:colOff>
      <xdr:row>1</xdr:row>
      <xdr:rowOff>53612</xdr:rowOff>
    </xdr:from>
    <xdr:to>
      <xdr:col>15</xdr:col>
      <xdr:colOff>585107</xdr:colOff>
      <xdr:row>16</xdr:row>
      <xdr:rowOff>136071</xdr:rowOff>
    </xdr:to>
    <xdr:graphicFrame macro="">
      <xdr:nvGraphicFramePr>
        <xdr:cNvPr id="3" name="Chart 2">
          <a:extLst>
            <a:ext uri="{FF2B5EF4-FFF2-40B4-BE49-F238E27FC236}">
              <a16:creationId xmlns:a16="http://schemas.microsoft.com/office/drawing/2014/main" id="{5FB622BE-DC6A-4990-A909-19DC0841B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15016</xdr:colOff>
      <xdr:row>1</xdr:row>
      <xdr:rowOff>48936</xdr:rowOff>
    </xdr:from>
    <xdr:to>
      <xdr:col>25</xdr:col>
      <xdr:colOff>218851</xdr:colOff>
      <xdr:row>16</xdr:row>
      <xdr:rowOff>120239</xdr:rowOff>
    </xdr:to>
    <xdr:graphicFrame macro="">
      <xdr:nvGraphicFramePr>
        <xdr:cNvPr id="4" name="Chart 3">
          <a:extLst>
            <a:ext uri="{FF2B5EF4-FFF2-40B4-BE49-F238E27FC236}">
              <a16:creationId xmlns:a16="http://schemas.microsoft.com/office/drawing/2014/main" id="{3529AAE8-9232-479E-9387-F6D8A6EC5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17144</xdr:colOff>
      <xdr:row>17</xdr:row>
      <xdr:rowOff>9523</xdr:rowOff>
    </xdr:from>
    <xdr:to>
      <xdr:col>6</xdr:col>
      <xdr:colOff>20954</xdr:colOff>
      <xdr:row>34</xdr:row>
      <xdr:rowOff>85723</xdr:rowOff>
    </xdr:to>
    <xdr:graphicFrame macro="">
      <xdr:nvGraphicFramePr>
        <xdr:cNvPr id="5" name="Chart 4">
          <a:extLst>
            <a:ext uri="{FF2B5EF4-FFF2-40B4-BE49-F238E27FC236}">
              <a16:creationId xmlns:a16="http://schemas.microsoft.com/office/drawing/2014/main" id="{C6A13F35-F14E-4735-82B8-7BDF5EFC3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45047</xdr:colOff>
      <xdr:row>17</xdr:row>
      <xdr:rowOff>4032</xdr:rowOff>
    </xdr:from>
    <xdr:to>
      <xdr:col>24</xdr:col>
      <xdr:colOff>383465</xdr:colOff>
      <xdr:row>34</xdr:row>
      <xdr:rowOff>57374</xdr:rowOff>
    </xdr:to>
    <xdr:graphicFrame macro="">
      <xdr:nvGraphicFramePr>
        <xdr:cNvPr id="8" name="Chart 7">
          <a:extLst>
            <a:ext uri="{FF2B5EF4-FFF2-40B4-BE49-F238E27FC236}">
              <a16:creationId xmlns:a16="http://schemas.microsoft.com/office/drawing/2014/main" id="{A529E932-C906-4744-9A87-0F7112C75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11655</xdr:colOff>
      <xdr:row>34</xdr:row>
      <xdr:rowOff>149038</xdr:rowOff>
    </xdr:from>
    <xdr:to>
      <xdr:col>6</xdr:col>
      <xdr:colOff>554580</xdr:colOff>
      <xdr:row>50</xdr:row>
      <xdr:rowOff>82363</xdr:rowOff>
    </xdr:to>
    <xdr:graphicFrame macro="">
      <xdr:nvGraphicFramePr>
        <xdr:cNvPr id="9" name="Chart 8">
          <a:extLst>
            <a:ext uri="{FF2B5EF4-FFF2-40B4-BE49-F238E27FC236}">
              <a16:creationId xmlns:a16="http://schemas.microsoft.com/office/drawing/2014/main" id="{11E3878F-8780-4B97-903E-EEC9E5A26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17144</xdr:colOff>
      <xdr:row>34</xdr:row>
      <xdr:rowOff>26671</xdr:rowOff>
    </xdr:from>
    <xdr:to>
      <xdr:col>25</xdr:col>
      <xdr:colOff>20955</xdr:colOff>
      <xdr:row>70</xdr:row>
      <xdr:rowOff>173472</xdr:rowOff>
    </xdr:to>
    <xdr:pic>
      <xdr:nvPicPr>
        <xdr:cNvPr id="10" name="Picture 9">
          <a:extLst>
            <a:ext uri="{FF2B5EF4-FFF2-40B4-BE49-F238E27FC236}">
              <a16:creationId xmlns:a16="http://schemas.microsoft.com/office/drawing/2014/main" id="{2633D5CA-A178-996D-2B2F-36F61CB96FCD}"/>
            </a:ext>
          </a:extLst>
        </xdr:cNvPr>
        <xdr:cNvPicPr>
          <a:picLocks noChangeAspect="1"/>
        </xdr:cNvPicPr>
      </xdr:nvPicPr>
      <xdr:blipFill>
        <a:blip xmlns:r="http://schemas.openxmlformats.org/officeDocument/2006/relationships" r:embed="rId7"/>
        <a:stretch>
          <a:fillRect/>
        </a:stretch>
      </xdr:blipFill>
      <xdr:spPr>
        <a:xfrm>
          <a:off x="5065394" y="6732271"/>
          <a:ext cx="11231881" cy="6658091"/>
        </a:xfrm>
        <a:prstGeom prst="rect">
          <a:avLst/>
        </a:prstGeom>
      </xdr:spPr>
    </xdr:pic>
    <xdr:clientData/>
  </xdr:twoCellAnchor>
  <xdr:twoCellAnchor>
    <xdr:from>
      <xdr:col>7</xdr:col>
      <xdr:colOff>321945</xdr:colOff>
      <xdr:row>35</xdr:row>
      <xdr:rowOff>28575</xdr:rowOff>
    </xdr:from>
    <xdr:to>
      <xdr:col>12</xdr:col>
      <xdr:colOff>114300</xdr:colOff>
      <xdr:row>42</xdr:row>
      <xdr:rowOff>55244</xdr:rowOff>
    </xdr:to>
    <xdr:sp macro="" textlink="">
      <xdr:nvSpPr>
        <xdr:cNvPr id="11" name="TextBox 10">
          <a:extLst>
            <a:ext uri="{FF2B5EF4-FFF2-40B4-BE49-F238E27FC236}">
              <a16:creationId xmlns:a16="http://schemas.microsoft.com/office/drawing/2014/main" id="{32F1F7EF-BA64-0C3D-0533-5EB7067656CB}"/>
            </a:ext>
          </a:extLst>
        </xdr:cNvPr>
        <xdr:cNvSpPr txBox="1"/>
      </xdr:nvSpPr>
      <xdr:spPr>
        <a:xfrm>
          <a:off x="5370195" y="6915150"/>
          <a:ext cx="2840355" cy="1293494"/>
        </a:xfrm>
        <a:prstGeom prst="rect">
          <a:avLst/>
        </a:prstGeom>
        <a:solidFill>
          <a:schemeClr val="lt1">
            <a:alpha val="72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Bahnschrift" panose="020B0502040204020203" pitchFamily="34" charset="0"/>
            </a:rPr>
            <a:t>Sites Tested</a:t>
          </a:r>
        </a:p>
        <a:p>
          <a:r>
            <a:rPr lang="en-GB" sz="1200">
              <a:latin typeface="Bahnschrift" panose="020B0502040204020203" pitchFamily="34" charset="0"/>
            </a:rPr>
            <a:t>(the redder the colour, the more samples taken)</a:t>
          </a:r>
        </a:p>
        <a:p>
          <a:r>
            <a:rPr lang="en-GB" sz="1200" i="1">
              <a:latin typeface="Bahnschrift" panose="020B0502040204020203" pitchFamily="34" charset="0"/>
            </a:rPr>
            <a:t>This is not a comprehensive map as not all volunteers supply GPS</a:t>
          </a:r>
          <a:r>
            <a:rPr lang="en-GB" sz="1200" i="1" baseline="0">
              <a:latin typeface="Bahnschrift" panose="020B0502040204020203" pitchFamily="34" charset="0"/>
            </a:rPr>
            <a:t> information via Epicollect.</a:t>
          </a:r>
          <a:endParaRPr lang="en-GB" sz="1200" i="1">
            <a:latin typeface="Bahnschrift" panose="020B0502040204020203" pitchFamily="34" charset="0"/>
          </a:endParaRPr>
        </a:p>
      </xdr:txBody>
    </xdr:sp>
    <xdr:clientData/>
  </xdr:twoCellAnchor>
  <xdr:twoCellAnchor>
    <xdr:from>
      <xdr:col>0</xdr:col>
      <xdr:colOff>20955</xdr:colOff>
      <xdr:row>50</xdr:row>
      <xdr:rowOff>164782</xdr:rowOff>
    </xdr:from>
    <xdr:to>
      <xdr:col>6</xdr:col>
      <xdr:colOff>586740</xdr:colOff>
      <xdr:row>70</xdr:row>
      <xdr:rowOff>129540</xdr:rowOff>
    </xdr:to>
    <xdr:grpSp>
      <xdr:nvGrpSpPr>
        <xdr:cNvPr id="14" name="Group 13">
          <a:extLst>
            <a:ext uri="{FF2B5EF4-FFF2-40B4-BE49-F238E27FC236}">
              <a16:creationId xmlns:a16="http://schemas.microsoft.com/office/drawing/2014/main" id="{F5CD42D2-576F-54B2-8FBA-43CB3D344FE8}"/>
            </a:ext>
          </a:extLst>
        </xdr:cNvPr>
        <xdr:cNvGrpSpPr/>
      </xdr:nvGrpSpPr>
      <xdr:grpSpPr>
        <a:xfrm>
          <a:off x="17145" y="9133298"/>
          <a:ext cx="4988523" cy="3550640"/>
          <a:chOff x="20964" y="9735511"/>
          <a:chExt cx="4996814" cy="3589973"/>
        </a:xfrm>
      </xdr:grpSpPr>
      <xdr:graphicFrame macro="">
        <xdr:nvGraphicFramePr>
          <xdr:cNvPr id="12" name="Chart 11">
            <a:extLst>
              <a:ext uri="{FF2B5EF4-FFF2-40B4-BE49-F238E27FC236}">
                <a16:creationId xmlns:a16="http://schemas.microsoft.com/office/drawing/2014/main" id="{F80F09F4-9AF8-3AD4-896A-3C0A99225AB6}"/>
              </a:ext>
            </a:extLst>
          </xdr:cNvPr>
          <xdr:cNvGraphicFramePr/>
        </xdr:nvGraphicFramePr>
        <xdr:xfrm>
          <a:off x="20964" y="9735511"/>
          <a:ext cx="4996814" cy="3589973"/>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13" name="TextBox 10">
            <a:extLst>
              <a:ext uri="{FF2B5EF4-FFF2-40B4-BE49-F238E27FC236}">
                <a16:creationId xmlns:a16="http://schemas.microsoft.com/office/drawing/2014/main" id="{4C3CB9D6-674E-4669-FA78-99C71C6B231C}"/>
              </a:ext>
            </a:extLst>
          </xdr:cNvPr>
          <xdr:cNvSpPr txBox="1"/>
        </xdr:nvSpPr>
        <xdr:spPr>
          <a:xfrm>
            <a:off x="2377440" y="12123419"/>
            <a:ext cx="2528570" cy="1120140"/>
          </a:xfrm>
          <a:prstGeom prst="rect">
            <a:avLst/>
          </a:prstGeom>
          <a:solidFill>
            <a:schemeClr val="lt1">
              <a:alpha val="72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200" b="1">
                <a:latin typeface="Bahnschrift" panose="020B0502040204020203" pitchFamily="34" charset="0"/>
              </a:rPr>
              <a:t>Note</a:t>
            </a:r>
          </a:p>
          <a:p>
            <a:r>
              <a:rPr lang="en-GB" sz="1050" b="0">
                <a:latin typeface="Bahnschrift" panose="020B0502040204020203" pitchFamily="34" charset="0"/>
              </a:rPr>
              <a:t>These</a:t>
            </a:r>
            <a:r>
              <a:rPr lang="en-GB" sz="1050" b="0" baseline="0">
                <a:latin typeface="Bahnschrift" panose="020B0502040204020203" pitchFamily="34" charset="0"/>
              </a:rPr>
              <a:t> are the 'lower bounds'. </a:t>
            </a:r>
          </a:p>
          <a:p>
            <a:r>
              <a:rPr lang="en-GB" sz="1050" b="0" baseline="0">
                <a:latin typeface="Bahnschrift" panose="020B0502040204020203" pitchFamily="34" charset="0"/>
              </a:rPr>
              <a:t>For example, a nitrate reading between 1.5ppm indicates 'high levels', and a nitrate reading of 2.1ppm+ indicates 'very high levels' of pollution.</a:t>
            </a:r>
            <a:endParaRPr lang="en-GB" sz="1000" b="0">
              <a:latin typeface="Bahnschrift" panose="020B0502040204020203" pitchFamily="34" charset="0"/>
            </a:endParaRPr>
          </a:p>
        </xdr:txBody>
      </xdr:sp>
    </xdr:grpSp>
    <xdr:clientData/>
  </xdr:twoCellAnchor>
  <xdr:twoCellAnchor>
    <xdr:from>
      <xdr:col>0</xdr:col>
      <xdr:colOff>0</xdr:colOff>
      <xdr:row>71</xdr:row>
      <xdr:rowOff>76030</xdr:rowOff>
    </xdr:from>
    <xdr:to>
      <xdr:col>12</xdr:col>
      <xdr:colOff>533400</xdr:colOff>
      <xdr:row>94</xdr:row>
      <xdr:rowOff>78888</xdr:rowOff>
    </xdr:to>
    <xdr:grpSp>
      <xdr:nvGrpSpPr>
        <xdr:cNvPr id="34" name="Group 33">
          <a:extLst>
            <a:ext uri="{FF2B5EF4-FFF2-40B4-BE49-F238E27FC236}">
              <a16:creationId xmlns:a16="http://schemas.microsoft.com/office/drawing/2014/main" id="{66248034-165E-B1C8-BC9E-355E9EFC39E8}"/>
            </a:ext>
          </a:extLst>
        </xdr:cNvPr>
        <xdr:cNvGrpSpPr/>
      </xdr:nvGrpSpPr>
      <xdr:grpSpPr>
        <a:xfrm>
          <a:off x="0" y="12805912"/>
          <a:ext cx="8579224" cy="4126623"/>
          <a:chOff x="22860" y="15256783"/>
          <a:chExt cx="8625840" cy="4526844"/>
        </a:xfrm>
      </xdr:grpSpPr>
      <xdr:grpSp>
        <xdr:nvGrpSpPr>
          <xdr:cNvPr id="19" name="Group 18">
            <a:extLst>
              <a:ext uri="{FF2B5EF4-FFF2-40B4-BE49-F238E27FC236}">
                <a16:creationId xmlns:a16="http://schemas.microsoft.com/office/drawing/2014/main" id="{D9925194-B5ED-716F-80A7-B4A4223C33C7}"/>
              </a:ext>
            </a:extLst>
          </xdr:cNvPr>
          <xdr:cNvGrpSpPr/>
        </xdr:nvGrpSpPr>
        <xdr:grpSpPr>
          <a:xfrm>
            <a:off x="22860" y="15256783"/>
            <a:ext cx="8625840" cy="4526844"/>
            <a:chOff x="34825" y="13466989"/>
            <a:chExt cx="10080777" cy="4511612"/>
          </a:xfrm>
        </xdr:grpSpPr>
        <xdr:graphicFrame macro="">
          <xdr:nvGraphicFramePr>
            <xdr:cNvPr id="15" name="Chart 14">
              <a:extLst>
                <a:ext uri="{FF2B5EF4-FFF2-40B4-BE49-F238E27FC236}">
                  <a16:creationId xmlns:a16="http://schemas.microsoft.com/office/drawing/2014/main" id="{7E27983B-8324-516C-0EBE-9F27B67EF7CC}"/>
                </a:ext>
              </a:extLst>
            </xdr:cNvPr>
            <xdr:cNvGraphicFramePr/>
          </xdr:nvGraphicFramePr>
          <xdr:xfrm>
            <a:off x="34825" y="13466989"/>
            <a:ext cx="10080777" cy="4511612"/>
          </xdr:xfrm>
          <a:graphic>
            <a:graphicData uri="http://schemas.openxmlformats.org/drawingml/2006/chart">
              <c:chart xmlns:c="http://schemas.openxmlformats.org/drawingml/2006/chart" xmlns:r="http://schemas.openxmlformats.org/officeDocument/2006/relationships" r:id="rId9"/>
            </a:graphicData>
          </a:graphic>
        </xdr:graphicFrame>
        <xdr:cxnSp macro="">
          <xdr:nvCxnSpPr>
            <xdr:cNvPr id="17" name="Straight Connector 16">
              <a:extLst>
                <a:ext uri="{FF2B5EF4-FFF2-40B4-BE49-F238E27FC236}">
                  <a16:creationId xmlns:a16="http://schemas.microsoft.com/office/drawing/2014/main" id="{52872F48-E1B4-A794-72B3-02C95A94B403}"/>
                </a:ext>
              </a:extLst>
            </xdr:cNvPr>
            <xdr:cNvCxnSpPr/>
          </xdr:nvCxnSpPr>
          <xdr:spPr>
            <a:xfrm flipV="1">
              <a:off x="379050" y="16871633"/>
              <a:ext cx="9401175"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20" name="Straight Connector 19">
            <a:extLst>
              <a:ext uri="{FF2B5EF4-FFF2-40B4-BE49-F238E27FC236}">
                <a16:creationId xmlns:a16="http://schemas.microsoft.com/office/drawing/2014/main" id="{A855F6BF-C06F-4143-BB64-1AF63E110705}"/>
              </a:ext>
            </a:extLst>
          </xdr:cNvPr>
          <xdr:cNvCxnSpPr/>
        </xdr:nvCxnSpPr>
        <xdr:spPr>
          <a:xfrm>
            <a:off x="329565" y="19277954"/>
            <a:ext cx="8048625" cy="954"/>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590774</xdr:colOff>
      <xdr:row>71</xdr:row>
      <xdr:rowOff>59840</xdr:rowOff>
    </xdr:from>
    <xdr:to>
      <xdr:col>25</xdr:col>
      <xdr:colOff>205964</xdr:colOff>
      <xdr:row>94</xdr:row>
      <xdr:rowOff>60793</xdr:rowOff>
    </xdr:to>
    <xdr:grpSp>
      <xdr:nvGrpSpPr>
        <xdr:cNvPr id="35" name="Group 34">
          <a:extLst>
            <a:ext uri="{FF2B5EF4-FFF2-40B4-BE49-F238E27FC236}">
              <a16:creationId xmlns:a16="http://schemas.microsoft.com/office/drawing/2014/main" id="{6C0DD989-DF52-073E-F397-E09953C0796F}"/>
            </a:ext>
          </a:extLst>
        </xdr:cNvPr>
        <xdr:cNvGrpSpPr/>
      </xdr:nvGrpSpPr>
      <xdr:grpSpPr>
        <a:xfrm>
          <a:off x="8632788" y="12785912"/>
          <a:ext cx="7747074" cy="4124718"/>
          <a:chOff x="8719185" y="15270480"/>
          <a:chExt cx="7789545" cy="4525328"/>
        </a:xfrm>
      </xdr:grpSpPr>
      <xdr:grpSp>
        <xdr:nvGrpSpPr>
          <xdr:cNvPr id="24" name="Group 23">
            <a:extLst>
              <a:ext uri="{FF2B5EF4-FFF2-40B4-BE49-F238E27FC236}">
                <a16:creationId xmlns:a16="http://schemas.microsoft.com/office/drawing/2014/main" id="{13F2442A-873B-449E-BDDA-AB906AF1558D}"/>
              </a:ext>
            </a:extLst>
          </xdr:cNvPr>
          <xdr:cNvGrpSpPr/>
        </xdr:nvGrpSpPr>
        <xdr:grpSpPr>
          <a:xfrm>
            <a:off x="8719185" y="15270480"/>
            <a:ext cx="7789545" cy="4525328"/>
            <a:chOff x="-98425" y="13331599"/>
            <a:chExt cx="10080777" cy="4510101"/>
          </a:xfrm>
        </xdr:grpSpPr>
        <xdr:graphicFrame macro="">
          <xdr:nvGraphicFramePr>
            <xdr:cNvPr id="25" name="Chart 24">
              <a:extLst>
                <a:ext uri="{FF2B5EF4-FFF2-40B4-BE49-F238E27FC236}">
                  <a16:creationId xmlns:a16="http://schemas.microsoft.com/office/drawing/2014/main" id="{96F24822-1AFD-BFF7-1284-1688F77339CB}"/>
                </a:ext>
              </a:extLst>
            </xdr:cNvPr>
            <xdr:cNvGraphicFramePr/>
          </xdr:nvGraphicFramePr>
          <xdr:xfrm>
            <a:off x="-98425" y="13331599"/>
            <a:ext cx="10080777" cy="4510101"/>
          </xdr:xfrm>
          <a:graphic>
            <a:graphicData uri="http://schemas.openxmlformats.org/drawingml/2006/chart">
              <c:chart xmlns:c="http://schemas.openxmlformats.org/drawingml/2006/chart" xmlns:r="http://schemas.openxmlformats.org/officeDocument/2006/relationships" r:id="rId10"/>
            </a:graphicData>
          </a:graphic>
        </xdr:graphicFrame>
        <xdr:cxnSp macro="">
          <xdr:nvCxnSpPr>
            <xdr:cNvPr id="26" name="Straight Connector 25">
              <a:extLst>
                <a:ext uri="{FF2B5EF4-FFF2-40B4-BE49-F238E27FC236}">
                  <a16:creationId xmlns:a16="http://schemas.microsoft.com/office/drawing/2014/main" id="{ACACBB88-F7D5-51C2-B824-7D87DDEBFAF3}"/>
                </a:ext>
              </a:extLst>
            </xdr:cNvPr>
            <xdr:cNvCxnSpPr/>
          </xdr:nvCxnSpPr>
          <xdr:spPr>
            <a:xfrm>
              <a:off x="276032" y="15608416"/>
              <a:ext cx="9435643" cy="86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27" name="Straight Connector 26">
            <a:extLst>
              <a:ext uri="{FF2B5EF4-FFF2-40B4-BE49-F238E27FC236}">
                <a16:creationId xmlns:a16="http://schemas.microsoft.com/office/drawing/2014/main" id="{5CA9469A-4F31-4267-9B9C-B961864A49C3}"/>
              </a:ext>
            </a:extLst>
          </xdr:cNvPr>
          <xdr:cNvCxnSpPr/>
        </xdr:nvCxnSpPr>
        <xdr:spPr>
          <a:xfrm>
            <a:off x="9014532" y="19272473"/>
            <a:ext cx="7307507" cy="4385"/>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46950</xdr:colOff>
      <xdr:row>16</xdr:row>
      <xdr:rowOff>177611</xdr:rowOff>
    </xdr:from>
    <xdr:to>
      <xdr:col>14</xdr:col>
      <xdr:colOff>13335</xdr:colOff>
      <xdr:row>34</xdr:row>
      <xdr:rowOff>64992</xdr:rowOff>
    </xdr:to>
    <xdr:graphicFrame macro="">
      <xdr:nvGraphicFramePr>
        <xdr:cNvPr id="7" name="Chart 6">
          <a:extLst>
            <a:ext uri="{FF2B5EF4-FFF2-40B4-BE49-F238E27FC236}">
              <a16:creationId xmlns:a16="http://schemas.microsoft.com/office/drawing/2014/main" id="{08AB1A4C-89C6-4E51-86C8-585F03C11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87631</xdr:colOff>
      <xdr:row>55</xdr:row>
      <xdr:rowOff>17146</xdr:rowOff>
    </xdr:from>
    <xdr:to>
      <xdr:col>6</xdr:col>
      <xdr:colOff>548640</xdr:colOff>
      <xdr:row>70</xdr:row>
      <xdr:rowOff>59053</xdr:rowOff>
    </xdr:to>
    <xdr:pic>
      <xdr:nvPicPr>
        <xdr:cNvPr id="43" name="Picture 42">
          <a:extLst>
            <a:ext uri="{FF2B5EF4-FFF2-40B4-BE49-F238E27FC236}">
              <a16:creationId xmlns:a16="http://schemas.microsoft.com/office/drawing/2014/main" id="{5B033BF6-F1C9-462D-43C6-8DB6FC574D84}"/>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2225" t="15448" r="2045" b="41896"/>
        <a:stretch/>
      </xdr:blipFill>
      <xdr:spPr bwMode="auto">
        <a:xfrm>
          <a:off x="87631" y="10523221"/>
          <a:ext cx="4903469" cy="2752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0.46801</cdr:x>
      <cdr:y>0.01328</cdr:y>
    </cdr:from>
    <cdr:to>
      <cdr:x>0.96375</cdr:x>
      <cdr:y>0.17716</cdr:y>
    </cdr:to>
    <cdr:sp macro="" textlink="">
      <cdr:nvSpPr>
        <cdr:cNvPr id="2" name="TextBox 10">
          <a:extLst xmlns:a="http://schemas.openxmlformats.org/drawingml/2006/main">
            <a:ext uri="{FF2B5EF4-FFF2-40B4-BE49-F238E27FC236}">
              <a16:creationId xmlns:a16="http://schemas.microsoft.com/office/drawing/2014/main" id="{32F1F7EF-BA64-0C3D-0533-5EB7067656CB}"/>
            </a:ext>
          </a:extLst>
        </cdr:cNvPr>
        <cdr:cNvSpPr txBox="1"/>
      </cdr:nvSpPr>
      <cdr:spPr>
        <a:xfrm xmlns:a="http://schemas.openxmlformats.org/drawingml/2006/main">
          <a:off x="2336800" y="47625"/>
          <a:ext cx="2475230" cy="587693"/>
        </a:xfrm>
        <a:prstGeom xmlns:a="http://schemas.openxmlformats.org/drawingml/2006/main" prst="rect">
          <a:avLst/>
        </a:prstGeom>
        <a:solidFill xmlns:a="http://schemas.openxmlformats.org/drawingml/2006/main">
          <a:schemeClr val="lt1">
            <a:alpha val="72000"/>
          </a:schemeClr>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200" b="1">
              <a:latin typeface="Bahnschrift" panose="020B0502040204020203" pitchFamily="34" charset="0"/>
            </a:rPr>
            <a:t>Source:</a:t>
          </a:r>
        </a:p>
        <a:p xmlns:a="http://schemas.openxmlformats.org/drawingml/2006/main">
          <a:r>
            <a:rPr lang="en-GB" sz="900">
              <a:latin typeface="Bahnschrift" panose="020B0502040204020203" pitchFamily="34" charset="0"/>
            </a:rPr>
            <a:t>https://content.freshwaterhabitats.org.uk/2015/10/CWfWTechnicalDocumentFINAL.pdf</a:t>
          </a:r>
        </a:p>
      </cdr:txBody>
    </cdr:sp>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6F06E7-2B4F-4D2F-A73B-54C5243BD772}" name="AllDataApr" displayName="AllDataApr" ref="A1:V737" totalsRowShown="0" headerRowDxfId="39" dataDxfId="37" headerRowBorderDxfId="38">
  <autoFilter ref="A1:V737" xr:uid="{A16F06E7-2B4F-4D2F-A73B-54C5243BD772}"/>
  <sortState xmlns:xlrd2="http://schemas.microsoft.com/office/spreadsheetml/2017/richdata2" ref="A2:V737">
    <sortCondition ref="B1:B737"/>
  </sortState>
  <tableColumns count="22">
    <tableColumn id="1" xr3:uid="{3079A9F2-CB29-41E4-B445-52CB762BA849}" name="EC UUID" dataDxfId="36"/>
    <tableColumn id="2" xr3:uid="{B6262B0E-767C-490A-8FFD-F37C4657B151}" name="Date" dataDxfId="35"/>
    <tableColumn id="3" xr3:uid="{94C5CEA8-DE23-4250-A854-FA436052F85D}" name="Season" dataDxfId="34">
      <calculatedColumnFormula array="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calculatedColumnFormula>
    </tableColumn>
    <tableColumn id="4" xr3:uid="{EA81B1A8-2F76-4D31-9F8B-8B5C030590C7}" name="Year" dataDxfId="33">
      <calculatedColumnFormula>YEAR(AllDataApr[[#This Row],[Date]])</calculatedColumnFormula>
    </tableColumn>
    <tableColumn id="5" xr3:uid="{32C31D58-A52C-4F3E-A45F-EA9024E30D8B}" name="Time" dataDxfId="32"/>
    <tableColumn id="6" xr3:uid="{8BFFF446-D8F2-47A4-9434-CD1D12E32DAA}" name="Time of Day" dataDxfId="31">
      <calculatedColumnFormula>IF(AND(AllDataApr[[#This Row],[Time]]&lt;0.5, AllDataApr[[#This Row],[Time]]&gt;0.17)=TRUE, "Morning", IF(AND(AllDataApr[[#This Row],[Time]]&lt;0.75, AllDataApr[[#This Row],[Time]]&gt;=0.5)=TRUE, "Afternoon", IF(AND(AllDataApr[[#This Row],[Time]]&lt;1, AllDataApr[[#This Row],[Time]]&gt;=0.75)=TRUE, "Evening", "Night")))</calculatedColumnFormula>
    </tableColumn>
    <tableColumn id="7" xr3:uid="{AF8B8D96-7EA7-4AD6-8F98-B76443A50BA7}" name="Volunteer" dataDxfId="30"/>
    <tableColumn id="9" xr3:uid="{70B9839E-91F7-44A1-89D2-4DE0063F57DD}" name="Site Name" dataDxfId="29">
      <calculatedColumnFormula>_xlfn.XLOOKUP(AllDataApr[[#This Row],[Location Name]], Locations[Row Labels],Locations[Group As])</calculatedColumnFormula>
    </tableColumn>
    <tableColumn id="10" xr3:uid="{7D5E4417-CC28-460D-9B66-612B71940D6D}" name="Region" dataDxfId="28">
      <calculatedColumnFormula>_xlfn.XLOOKUP(AllDataApr[[#This Row],[Site Name]],LocationsKey[Site Name],LocationsKey[Region])</calculatedColumnFormula>
    </tableColumn>
    <tableColumn id="11" xr3:uid="{708A9DCA-2D97-4A46-877B-9327DFA7722E}" name="River" dataDxfId="27">
      <calculatedColumnFormula>_xlfn.XLOOKUP(AllDataApr[[#This Row],[Site Name]],LocationsKey[Site Name], LocationsKey[Waterway])</calculatedColumnFormula>
    </tableColumn>
    <tableColumn id="12" xr3:uid="{C3C35285-0971-4A3D-B9A4-3A8BCA3143BB}" name="Location Name" dataDxfId="26"/>
    <tableColumn id="13" xr3:uid="{21BBA3B7-44BF-43A6-A58C-6BFE1B09CA68}" name="Latitude" dataDxfId="25"/>
    <tableColumn id="14" xr3:uid="{FB2F5F35-008C-4AEB-94D6-26C03B4993A6}" name="Longitude" dataDxfId="24"/>
    <tableColumn id="15" xr3:uid="{4A9F02AA-E022-424E-A853-D261EC56D6D6}" name="Above or Below CSO" dataDxfId="23"/>
    <tableColumn id="16" xr3:uid="{CBB1502E-DE04-46E0-80A8-DD28658A0860}" name="Electrical Conductivity (Micros)" dataDxfId="22"/>
    <tableColumn id="17" xr3:uid="{F8522524-2951-4D41-907E-A1855E967FD2}" name="Water Temp (deg C)" dataDxfId="21"/>
    <tableColumn id="18" xr3:uid="{A7ECA9D6-66EC-4ED0-BD2F-6994D6E7CFB0}" name="Nitrate (PPM)" dataDxfId="20"/>
    <tableColumn id="19" xr3:uid="{0A7013B9-F417-4A3B-B37C-CA3AEB51DF29}" name="Nitrate Pollution Category" dataDxfId="19">
      <calculatedColumnFormula>IF(AllDataApr[[#This Row],[Nitrate (PPM)]]&gt;2, "Very high", IF(AllDataApr[[#This Row],[Nitrate (PPM)]]&gt;1, "High", IF(AllDataApr[[#This Row],[Nitrate (PPM)]]&gt;0.5, "Some evidence", IF(AllDataApr[[#This Row],[Nitrate (PPM)]]&gt;0, "No evidence", IF(AllDataApr[[#This Row],[Nitrate (PPM)]]=0, "")))))</calculatedColumnFormula>
    </tableColumn>
    <tableColumn id="20" xr3:uid="{0FC94934-60CF-49D8-AC9C-73247763111A}" name="Phosphate (PPM)" dataDxfId="18"/>
    <tableColumn id="21" xr3:uid="{E8BB6180-1A14-423E-80BD-690AE4B4E3E0}" name="Phosphate Pollution Category" dataDxfId="17">
      <calculatedColumnFormula>IF(AllDataApr[[#This Row],[Phosphate (PPM)]]&gt;0.5, "Very high", IF(AllDataApr[[#This Row],[Phosphate (PPM)]]&gt;0.1, "High", IF(AllDataApr[[#This Row],[Phosphate (PPM)]]&gt;0.05, "Some evidence", IF(AllDataApr[[#This Row],[Phosphate (PPM)]]=0, ""))))</calculatedColumnFormula>
    </tableColumn>
    <tableColumn id="22" xr3:uid="{DA2BA475-1BAB-4FA4-947C-7ABDEDCFABF2}" name="River Height" dataDxfId="16"/>
    <tableColumn id="23" xr3:uid="{15192D91-7C42-4DA3-AA10-9FCD6528405E}" name="Comments" dataDxfId="15"/>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2BD183-1A9E-41A9-AEE9-2A322BDD0AEC}" name="Locations" displayName="Locations" ref="A1:J80" totalsRowShown="0">
  <autoFilter ref="A1:J80" xr:uid="{D72BD183-1A9E-41A9-AEE9-2A322BDD0AEC}"/>
  <sortState xmlns:xlrd2="http://schemas.microsoft.com/office/spreadsheetml/2017/richdata2" ref="A2:J80">
    <sortCondition ref="A1:A80"/>
  </sortState>
  <tableColumns count="10">
    <tableColumn id="1" xr3:uid="{B49E25ED-B418-49BF-9EDB-B17FE41CAFBA}" name="Row Labels"/>
    <tableColumn id="2" xr3:uid="{81A29E64-B7AC-467A-8223-BB0F8D67BFB0}" name="Average of Latitude" dataDxfId="14"/>
    <tableColumn id="3" xr3:uid="{FF111439-4176-4707-B772-02376B082CD8}" name="Min of Latitude" dataDxfId="13"/>
    <tableColumn id="4" xr3:uid="{145531DB-E10F-496C-B7E3-9A3D62AFC9E7}" name="Max of Latitude" dataDxfId="12"/>
    <tableColumn id="5" xr3:uid="{BA4B5764-AAAB-4EE8-B89F-C49786943C99}" name="Average of Longitude" dataDxfId="11"/>
    <tableColumn id="6" xr3:uid="{B8ACFEC2-E720-48D7-BEDD-873BA120F77D}" name="Min of Longitude" dataDxfId="10"/>
    <tableColumn id="7" xr3:uid="{32381F35-118E-47D3-B52E-0374B995AEF4}" name="Max of Longitude" dataDxfId="9"/>
    <tableColumn id="9" xr3:uid="{F1D70A46-29B8-461A-9CB5-0A5BF6DF6C32}" name="Latitude Range" dataDxfId="8">
      <calculatedColumnFormula>D2-C2</calculatedColumnFormula>
    </tableColumn>
    <tableColumn id="10" xr3:uid="{396FD7D6-E037-4907-8BBC-D0DE97A3EB02}" name="Longitude Range" dataDxfId="7">
      <calculatedColumnFormula>G2-F2</calculatedColumnFormula>
    </tableColumn>
    <tableColumn id="11" xr3:uid="{10C547D5-6A00-4134-9B75-BC3B577C3C7B}" name="Group A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681EB23-5DF1-41F4-877B-0942AA45D6BA}" name="LocationsKey" displayName="LocationsKey" ref="L1:O45" totalsRowShown="0">
  <autoFilter ref="L1:O45" xr:uid="{2681EB23-5DF1-41F4-877B-0942AA45D6BA}"/>
  <tableColumns count="4">
    <tableColumn id="1" xr3:uid="{1058E91E-3BF3-4F24-828C-8B23DEF10BEA}" name="Site Name"/>
    <tableColumn id="2" xr3:uid="{3C55A793-D017-455F-AE20-372527A88805}" name="Waterway"/>
    <tableColumn id="3" xr3:uid="{4FF20F64-5057-4756-AB9B-63D0C7A8FFD5}" name="Region"/>
    <tableColumn id="4" xr3:uid="{AA274410-B3D7-47EF-858A-E0B9878218D9}" name="Designation" dataDxfId="6">
      <calculatedColumnFormula>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ontent.freshwaterhabitats.org.uk/2015/10/CWfWTechnicalDocumentFINAL.pdf" TargetMode="External"/><Relationship Id="rId1" Type="http://schemas.openxmlformats.org/officeDocument/2006/relationships/hyperlink" Target="https://www.wyeuskfoundation.org/wp-content/uploads/2023/10/aguidetocitizenscienceriverwatersamplingandwaterqualitytestinginthefield.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D6485-518F-4AF7-875E-C7975016DF98}">
  <dimension ref="A1:V737"/>
  <sheetViews>
    <sheetView workbookViewId="0">
      <pane ySplit="1" topLeftCell="A2" activePane="bottomLeft" state="frozen"/>
      <selection pane="bottomLeft" activeCell="G17" sqref="G17"/>
    </sheetView>
  </sheetViews>
  <sheetFormatPr defaultRowHeight="14.4" x14ac:dyDescent="0.3"/>
  <cols>
    <col min="1" max="1" width="9.5546875" customWidth="1"/>
    <col min="2" max="2" width="10.5546875" bestFit="1" customWidth="1"/>
    <col min="3" max="3" width="9" customWidth="1"/>
    <col min="4" max="4" width="6.77734375" customWidth="1"/>
    <col min="5" max="5" width="7.21875" customWidth="1"/>
    <col min="6" max="6" width="13.109375" customWidth="1"/>
    <col min="7" max="7" width="11.6640625" customWidth="1"/>
    <col min="8" max="8" width="35.21875" bestFit="1" customWidth="1"/>
    <col min="9" max="9" width="11.33203125" bestFit="1" customWidth="1"/>
    <col min="10" max="10" width="7.33203125" customWidth="1"/>
    <col min="11" max="11" width="34.21875" customWidth="1"/>
    <col min="12" max="12" width="10" bestFit="1" customWidth="1"/>
    <col min="13" max="13" width="11.5546875" customWidth="1"/>
    <col min="14" max="14" width="20.44140625" customWidth="1"/>
    <col min="15" max="15" width="19.44140625" customWidth="1"/>
    <col min="16" max="16" width="20.109375" customWidth="1"/>
    <col min="17" max="17" width="15.6640625" customWidth="1"/>
    <col min="18" max="18" width="25.44140625" customWidth="1"/>
    <col min="19" max="19" width="18.77734375" customWidth="1"/>
    <col min="20" max="20" width="28.44140625" customWidth="1"/>
    <col min="21" max="21" width="13.44140625" customWidth="1"/>
    <col min="22" max="22" width="217.33203125" bestFit="1" customWidth="1"/>
  </cols>
  <sheetData>
    <row r="1" spans="1:22" ht="15" thickBot="1" x14ac:dyDescent="0.35">
      <c r="A1" s="8" t="s">
        <v>300</v>
      </c>
      <c r="B1" s="9" t="s">
        <v>1</v>
      </c>
      <c r="C1" s="9" t="s">
        <v>184</v>
      </c>
      <c r="D1" s="9" t="s">
        <v>217</v>
      </c>
      <c r="E1" s="10" t="s">
        <v>0</v>
      </c>
      <c r="F1" s="10" t="s">
        <v>195</v>
      </c>
      <c r="G1" s="5" t="s">
        <v>2</v>
      </c>
      <c r="H1" s="5" t="s">
        <v>62</v>
      </c>
      <c r="I1" s="5" t="s">
        <v>186</v>
      </c>
      <c r="J1" s="5" t="s">
        <v>189</v>
      </c>
      <c r="K1" s="5" t="s">
        <v>3</v>
      </c>
      <c r="L1" s="5" t="s">
        <v>4</v>
      </c>
      <c r="M1" s="5" t="s">
        <v>5</v>
      </c>
      <c r="N1" s="5" t="s">
        <v>6</v>
      </c>
      <c r="O1" s="5" t="s">
        <v>7</v>
      </c>
      <c r="P1" s="5" t="s">
        <v>8</v>
      </c>
      <c r="Q1" s="5" t="s">
        <v>1106</v>
      </c>
      <c r="R1" s="5" t="s">
        <v>63</v>
      </c>
      <c r="S1" s="5" t="s">
        <v>1107</v>
      </c>
      <c r="T1" s="5" t="s">
        <v>64</v>
      </c>
      <c r="U1" s="5" t="s">
        <v>9</v>
      </c>
      <c r="V1" s="6" t="s">
        <v>10</v>
      </c>
    </row>
    <row r="2" spans="1:22" ht="15" thickTop="1" x14ac:dyDescent="0.3">
      <c r="A2" t="s">
        <v>897</v>
      </c>
      <c r="B2" s="2">
        <v>45112</v>
      </c>
      <c r="C2" s="2" t="str" cm="1">
        <f t="array" ref="C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2">
        <f>YEAR(AllDataApr[[#This Row],[Date]])</f>
        <v>2023</v>
      </c>
      <c r="E2" s="1">
        <v>0.64444444444444449</v>
      </c>
      <c r="F2" s="2" t="str">
        <f>IF(AND(AllDataApr[[#This Row],[Time]]&lt;0.5, AllDataApr[[#This Row],[Time]]&gt;0.17)=TRUE, "Morning", IF(AND(AllDataApr[[#This Row],[Time]]&lt;0.75, AllDataApr[[#This Row],[Time]]&gt;=0.5)=TRUE, "Afternoon", IF(AND(AllDataApr[[#This Row],[Time]]&lt;1, AllDataApr[[#This Row],[Time]]&gt;=0.75)=TRUE, "Evening", "Night")))</f>
        <v>Afternoon</v>
      </c>
      <c r="G2" t="s">
        <v>11</v>
      </c>
      <c r="H2" t="str">
        <f>_xlfn.XLOOKUP(AllDataApr[[#This Row],[Location Name]], Locations[Row Labels],Locations[Group As])</f>
        <v>Abbey Mill</v>
      </c>
      <c r="I2" t="str">
        <f>_xlfn.XLOOKUP(AllDataApr[[#This Row],[Site Name]],LocationsKey[Site Name],LocationsKey[Region])</f>
        <v>Tewkesbury</v>
      </c>
      <c r="J2" t="str">
        <f>_xlfn.XLOOKUP(AllDataApr[[#This Row],[Site Name]],LocationsKey[Site Name], LocationsKey[Waterway])</f>
        <v>Avon</v>
      </c>
      <c r="K2" t="s">
        <v>12</v>
      </c>
      <c r="L2">
        <v>51.994824000000001</v>
      </c>
      <c r="M2">
        <v>-2.1510699999999998</v>
      </c>
      <c r="N2" t="s">
        <v>200</v>
      </c>
      <c r="O2">
        <v>958</v>
      </c>
      <c r="P2">
        <v>19.100000000000001</v>
      </c>
      <c r="Q2">
        <v>7</v>
      </c>
      <c r="R2" s="7" t="str">
        <f>IF(AllDataApr[[#This Row],[Nitrate (PPM)]]&gt;2, "Very high", IF(AllDataApr[[#This Row],[Nitrate (PPM)]]&gt;1, "High", IF(AllDataApr[[#This Row],[Nitrate (PPM)]]&gt;0.5, "Some evidence", IF(AllDataApr[[#This Row],[Nitrate (PPM)]]&gt;0, "No evidence", IF(AllDataApr[[#This Row],[Nitrate (PPM)]]=0, "")))))</f>
        <v>Very high</v>
      </c>
      <c r="S2">
        <v>1.29</v>
      </c>
      <c r="T2" s="7" t="str">
        <f>IF(AllDataApr[[#This Row],[Phosphate (PPM)]]&gt;0.5, "Very high", IF(AllDataApr[[#This Row],[Phosphate (PPM)]]&gt;0.1, "High", IF(AllDataApr[[#This Row],[Phosphate (PPM)]]&gt;0.05, "Some evidence", IF(AllDataApr[[#This Row],[Phosphate (PPM)]]=0, ""))))</f>
        <v>Very high</v>
      </c>
      <c r="U2">
        <v>0</v>
      </c>
    </row>
    <row r="3" spans="1:22" x14ac:dyDescent="0.3">
      <c r="A3" t="s">
        <v>896</v>
      </c>
      <c r="B3" s="2">
        <v>45116</v>
      </c>
      <c r="C3" s="2" t="str" cm="1">
        <f t="array" ref="C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3">
        <f>YEAR(AllDataApr[[#This Row],[Date]])</f>
        <v>2023</v>
      </c>
      <c r="E3" s="1">
        <v>0.43333333333333335</v>
      </c>
      <c r="F3" s="2" t="str">
        <f>IF(AND(AllDataApr[[#This Row],[Time]]&lt;0.5, AllDataApr[[#This Row],[Time]]&gt;0.17)=TRUE, "Morning", IF(AND(AllDataApr[[#This Row],[Time]]&lt;0.75, AllDataApr[[#This Row],[Time]]&gt;=0.5)=TRUE, "Afternoon", IF(AND(AllDataApr[[#This Row],[Time]]&lt;1, AllDataApr[[#This Row],[Time]]&gt;=0.75)=TRUE, "Evening", "Night")))</f>
        <v>Morning</v>
      </c>
      <c r="G3" t="s">
        <v>11</v>
      </c>
      <c r="H3" t="str">
        <f>_xlfn.XLOOKUP(AllDataApr[[#This Row],[Location Name]], Locations[Row Labels],Locations[Group As])</f>
        <v>Abbey Mill</v>
      </c>
      <c r="I3" t="str">
        <f>_xlfn.XLOOKUP(AllDataApr[[#This Row],[Site Name]],LocationsKey[Site Name],LocationsKey[Region])</f>
        <v>Tewkesbury</v>
      </c>
      <c r="J3" t="str">
        <f>_xlfn.XLOOKUP(AllDataApr[[#This Row],[Site Name]],LocationsKey[Site Name], LocationsKey[Waterway])</f>
        <v>Avon</v>
      </c>
      <c r="K3" t="s">
        <v>13</v>
      </c>
      <c r="L3">
        <v>51.994821999999999</v>
      </c>
      <c r="M3">
        <v>-2.1510720000000001</v>
      </c>
      <c r="N3" t="s">
        <v>200</v>
      </c>
      <c r="O3">
        <v>993</v>
      </c>
      <c r="P3">
        <v>19</v>
      </c>
      <c r="Q3">
        <v>8</v>
      </c>
      <c r="R3" s="7" t="str">
        <f>IF(AllDataApr[[#This Row],[Nitrate (PPM)]]&gt;2, "Very high", IF(AllDataApr[[#This Row],[Nitrate (PPM)]]&gt;1, "High", IF(AllDataApr[[#This Row],[Nitrate (PPM)]]&gt;0.5, "Some evidence", IF(AllDataApr[[#This Row],[Nitrate (PPM)]]&gt;0, "No evidence", IF(AllDataApr[[#This Row],[Nitrate (PPM)]]=0, "")))))</f>
        <v>Very high</v>
      </c>
      <c r="S3">
        <v>1.1100000000000001</v>
      </c>
      <c r="T3" s="7" t="str">
        <f>IF(AllDataApr[[#This Row],[Phosphate (PPM)]]&gt;0.5, "Very high", IF(AllDataApr[[#This Row],[Phosphate (PPM)]]&gt;0.1, "High", IF(AllDataApr[[#This Row],[Phosphate (PPM)]]&gt;0.05, "Some evidence", IF(AllDataApr[[#This Row],[Phosphate (PPM)]]=0, ""))))</f>
        <v>Very high</v>
      </c>
      <c r="U3">
        <v>0</v>
      </c>
      <c r="V3" t="s">
        <v>15</v>
      </c>
    </row>
    <row r="4" spans="1:22" x14ac:dyDescent="0.3">
      <c r="A4" t="s">
        <v>895</v>
      </c>
      <c r="B4" s="2">
        <v>45118</v>
      </c>
      <c r="C4" s="2" t="str" cm="1">
        <f t="array" ref="C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4">
        <f>YEAR(AllDataApr[[#This Row],[Date]])</f>
        <v>2023</v>
      </c>
      <c r="E4" s="1">
        <v>0.42986111111111114</v>
      </c>
      <c r="F4" s="2" t="str">
        <f>IF(AND(AllDataApr[[#This Row],[Time]]&lt;0.5, AllDataApr[[#This Row],[Time]]&gt;0.17)=TRUE, "Morning", IF(AND(AllDataApr[[#This Row],[Time]]&lt;0.75, AllDataApr[[#This Row],[Time]]&gt;=0.5)=TRUE, "Afternoon", IF(AND(AllDataApr[[#This Row],[Time]]&lt;1, AllDataApr[[#This Row],[Time]]&gt;=0.75)=TRUE, "Evening", "Night")))</f>
        <v>Morning</v>
      </c>
      <c r="G4" t="s">
        <v>16</v>
      </c>
      <c r="H4" t="str">
        <f>_xlfn.XLOOKUP(AllDataApr[[#This Row],[Location Name]], Locations[Row Labels],Locations[Group As])</f>
        <v>Twyning Fleet</v>
      </c>
      <c r="I4" t="str">
        <f>_xlfn.XLOOKUP(AllDataApr[[#This Row],[Site Name]],LocationsKey[Site Name],LocationsKey[Region])</f>
        <v>Tewkesbury</v>
      </c>
      <c r="J4" t="str">
        <f>_xlfn.XLOOKUP(AllDataApr[[#This Row],[Site Name]],LocationsKey[Site Name], LocationsKey[Waterway])</f>
        <v>Avon</v>
      </c>
      <c r="K4" t="s">
        <v>17</v>
      </c>
      <c r="L4">
        <v>52.027006999999998</v>
      </c>
      <c r="M4">
        <v>-2.1405560000000001</v>
      </c>
      <c r="N4" t="s">
        <v>18</v>
      </c>
      <c r="P4">
        <v>19.399999999999999</v>
      </c>
      <c r="R4" s="7" t="str">
        <f>IF(AllDataApr[[#This Row],[Nitrate (PPM)]]&gt;2, "Very high", IF(AllDataApr[[#This Row],[Nitrate (PPM)]]&gt;1, "High", IF(AllDataApr[[#This Row],[Nitrate (PPM)]]&gt;0.5, "Some evidence", IF(AllDataApr[[#This Row],[Nitrate (PPM)]]&gt;0, "No evidence", IF(AllDataApr[[#This Row],[Nitrate (PPM)]]=0, "")))))</f>
        <v/>
      </c>
      <c r="S4">
        <v>1.1599999999999999</v>
      </c>
      <c r="T4" s="7" t="str">
        <f>IF(AllDataApr[[#This Row],[Phosphate (PPM)]]&gt;0.5, "Very high", IF(AllDataApr[[#This Row],[Phosphate (PPM)]]&gt;0.1, "High", IF(AllDataApr[[#This Row],[Phosphate (PPM)]]&gt;0.05, "Some evidence", IF(AllDataApr[[#This Row],[Phosphate (PPM)]]=0, ""))))</f>
        <v>Very high</v>
      </c>
      <c r="U4">
        <v>0</v>
      </c>
      <c r="V4" t="s">
        <v>19</v>
      </c>
    </row>
    <row r="5" spans="1:22" x14ac:dyDescent="0.3">
      <c r="A5" t="s">
        <v>894</v>
      </c>
      <c r="B5" s="2">
        <v>45123</v>
      </c>
      <c r="C5" s="2" t="str" cm="1">
        <f t="array" ref="C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5">
        <f>YEAR(AllDataApr[[#This Row],[Date]])</f>
        <v>2023</v>
      </c>
      <c r="E5" s="1">
        <v>0.35</v>
      </c>
      <c r="F5" s="2" t="str">
        <f>IF(AND(AllDataApr[[#This Row],[Time]]&lt;0.5, AllDataApr[[#This Row],[Time]]&gt;0.17)=TRUE, "Morning", IF(AND(AllDataApr[[#This Row],[Time]]&lt;0.75, AllDataApr[[#This Row],[Time]]&gt;=0.5)=TRUE, "Afternoon", IF(AND(AllDataApr[[#This Row],[Time]]&lt;1, AllDataApr[[#This Row],[Time]]&gt;=0.75)=TRUE, "Evening", "Night")))</f>
        <v>Morning</v>
      </c>
      <c r="G5" t="s">
        <v>11</v>
      </c>
      <c r="H5" t="str">
        <f>_xlfn.XLOOKUP(AllDataApr[[#This Row],[Location Name]], Locations[Row Labels],Locations[Group As])</f>
        <v>Abbey Mill</v>
      </c>
      <c r="I5" t="str">
        <f>_xlfn.XLOOKUP(AllDataApr[[#This Row],[Site Name]],LocationsKey[Site Name],LocationsKey[Region])</f>
        <v>Tewkesbury</v>
      </c>
      <c r="J5" t="str">
        <f>_xlfn.XLOOKUP(AllDataApr[[#This Row],[Site Name]],LocationsKey[Site Name], LocationsKey[Waterway])</f>
        <v>Avon</v>
      </c>
      <c r="K5" t="s">
        <v>12</v>
      </c>
      <c r="L5">
        <v>51.991506999999999</v>
      </c>
      <c r="M5">
        <v>-2.1626789999999998</v>
      </c>
      <c r="N5" t="s">
        <v>200</v>
      </c>
      <c r="O5">
        <v>982</v>
      </c>
      <c r="P5">
        <v>18.7</v>
      </c>
      <c r="Q5">
        <v>10</v>
      </c>
      <c r="R5" s="7" t="str">
        <f>IF(AllDataApr[[#This Row],[Nitrate (PPM)]]&gt;2, "Very high", IF(AllDataApr[[#This Row],[Nitrate (PPM)]]&gt;1, "High", IF(AllDataApr[[#This Row],[Nitrate (PPM)]]&gt;0.5, "Some evidence", IF(AllDataApr[[#This Row],[Nitrate (PPM)]]&gt;0, "No evidence", IF(AllDataApr[[#This Row],[Nitrate (PPM)]]=0, "")))))</f>
        <v>Very high</v>
      </c>
      <c r="S5">
        <v>1.04</v>
      </c>
      <c r="T5" s="7" t="str">
        <f>IF(AllDataApr[[#This Row],[Phosphate (PPM)]]&gt;0.5, "Very high", IF(AllDataApr[[#This Row],[Phosphate (PPM)]]&gt;0.1, "High", IF(AllDataApr[[#This Row],[Phosphate (PPM)]]&gt;0.05, "Some evidence", IF(AllDataApr[[#This Row],[Phosphate (PPM)]]=0, ""))))</f>
        <v>Very high</v>
      </c>
      <c r="U5">
        <v>0</v>
      </c>
      <c r="V5" t="s">
        <v>14</v>
      </c>
    </row>
    <row r="6" spans="1:22" x14ac:dyDescent="0.3">
      <c r="A6" t="s">
        <v>893</v>
      </c>
      <c r="B6" s="2">
        <v>45123</v>
      </c>
      <c r="C6" s="2" t="str" cm="1">
        <f t="array" ref="C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6">
        <f>YEAR(AllDataApr[[#This Row],[Date]])</f>
        <v>2023</v>
      </c>
      <c r="E6" s="1">
        <v>0.47916666666666669</v>
      </c>
      <c r="F6" s="2" t="str">
        <f>IF(AND(AllDataApr[[#This Row],[Time]]&lt;0.5, AllDataApr[[#This Row],[Time]]&gt;0.17)=TRUE, "Morning", IF(AND(AllDataApr[[#This Row],[Time]]&lt;0.75, AllDataApr[[#This Row],[Time]]&gt;=0.5)=TRUE, "Afternoon", IF(AND(AllDataApr[[#This Row],[Time]]&lt;1, AllDataApr[[#This Row],[Time]]&gt;=0.75)=TRUE, "Evening", "Night")))</f>
        <v>Morning</v>
      </c>
      <c r="G6" t="s">
        <v>20</v>
      </c>
      <c r="H6" t="str">
        <f>_xlfn.XLOOKUP(AllDataApr[[#This Row],[Location Name]], Locations[Row Labels],Locations[Group As])</f>
        <v>Hampton Wood</v>
      </c>
      <c r="I6" t="str">
        <f>_xlfn.XLOOKUP(AllDataApr[[#This Row],[Site Name]],LocationsKey[Site Name],LocationsKey[Region])</f>
        <v>Stratford</v>
      </c>
      <c r="J6" t="str">
        <f>_xlfn.XLOOKUP(AllDataApr[[#This Row],[Site Name]],LocationsKey[Site Name], LocationsKey[Waterway])</f>
        <v>Avon</v>
      </c>
      <c r="K6" t="s">
        <v>25</v>
      </c>
      <c r="L6">
        <v>52.238149999999997</v>
      </c>
      <c r="M6">
        <v>-1.6245799999999999</v>
      </c>
      <c r="N6" t="s">
        <v>200</v>
      </c>
      <c r="O6">
        <v>682</v>
      </c>
      <c r="P6">
        <v>18</v>
      </c>
      <c r="Q6">
        <v>10</v>
      </c>
      <c r="R6" s="7" t="str">
        <f>IF(AllDataApr[[#This Row],[Nitrate (PPM)]]&gt;2, "Very high", IF(AllDataApr[[#This Row],[Nitrate (PPM)]]&gt;1, "High", IF(AllDataApr[[#This Row],[Nitrate (PPM)]]&gt;0.5, "Some evidence", IF(AllDataApr[[#This Row],[Nitrate (PPM)]]&gt;0, "No evidence", IF(AllDataApr[[#This Row],[Nitrate (PPM)]]=0, "")))))</f>
        <v>Very high</v>
      </c>
      <c r="S6">
        <v>0.63</v>
      </c>
      <c r="T6" s="7" t="str">
        <f>IF(AllDataApr[[#This Row],[Phosphate (PPM)]]&gt;0.5, "Very high", IF(AllDataApr[[#This Row],[Phosphate (PPM)]]&gt;0.1, "High", IF(AllDataApr[[#This Row],[Phosphate (PPM)]]&gt;0.05, "Some evidence", IF(AllDataApr[[#This Row],[Phosphate (PPM)]]=0, ""))))</f>
        <v>Very high</v>
      </c>
      <c r="U6">
        <v>0</v>
      </c>
      <c r="V6" t="s">
        <v>21</v>
      </c>
    </row>
    <row r="7" spans="1:22" x14ac:dyDescent="0.3">
      <c r="A7" t="s">
        <v>892</v>
      </c>
      <c r="B7" s="2">
        <v>45123</v>
      </c>
      <c r="C7" s="2" t="str" cm="1">
        <f t="array" ref="C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7">
        <f>YEAR(AllDataApr[[#This Row],[Date]])</f>
        <v>2023</v>
      </c>
      <c r="E7" s="1">
        <v>0.52083333333333337</v>
      </c>
      <c r="F7" s="2" t="str">
        <f>IF(AND(AllDataApr[[#This Row],[Time]]&lt;0.5, AllDataApr[[#This Row],[Time]]&gt;0.17)=TRUE, "Morning", IF(AND(AllDataApr[[#This Row],[Time]]&lt;0.75, AllDataApr[[#This Row],[Time]]&gt;=0.5)=TRUE, "Afternoon", IF(AND(AllDataApr[[#This Row],[Time]]&lt;1, AllDataApr[[#This Row],[Time]]&gt;=0.75)=TRUE, "Evening", "Night")))</f>
        <v>Afternoon</v>
      </c>
      <c r="G7" t="s">
        <v>20</v>
      </c>
      <c r="H7" t="str">
        <f>_xlfn.XLOOKUP(AllDataApr[[#This Row],[Location Name]], Locations[Row Labels],Locations[Group As])</f>
        <v>Hampton Lucy</v>
      </c>
      <c r="I7" t="str">
        <f>_xlfn.XLOOKUP(AllDataApr[[#This Row],[Site Name]],LocationsKey[Site Name],LocationsKey[Region])</f>
        <v>Stratford</v>
      </c>
      <c r="J7" t="str">
        <f>_xlfn.XLOOKUP(AllDataApr[[#This Row],[Site Name]],LocationsKey[Site Name], LocationsKey[Waterway])</f>
        <v>Avon</v>
      </c>
      <c r="K7" t="s">
        <v>27</v>
      </c>
      <c r="L7">
        <v>52.211680000000001</v>
      </c>
      <c r="M7">
        <v>-1.6244400000000001</v>
      </c>
      <c r="N7" t="s">
        <v>200</v>
      </c>
      <c r="O7">
        <v>782</v>
      </c>
      <c r="P7">
        <v>18.5</v>
      </c>
      <c r="Q7">
        <v>5</v>
      </c>
      <c r="R7" s="7" t="str">
        <f>IF(AllDataApr[[#This Row],[Nitrate (PPM)]]&gt;2, "Very high", IF(AllDataApr[[#This Row],[Nitrate (PPM)]]&gt;1, "High", IF(AllDataApr[[#This Row],[Nitrate (PPM)]]&gt;0.5, "Some evidence", IF(AllDataApr[[#This Row],[Nitrate (PPM)]]&gt;0, "No evidence", IF(AllDataApr[[#This Row],[Nitrate (PPM)]]=0, "")))))</f>
        <v>Very high</v>
      </c>
      <c r="S7">
        <v>0.55000000000000004</v>
      </c>
      <c r="T7" s="7" t="str">
        <f>IF(AllDataApr[[#This Row],[Phosphate (PPM)]]&gt;0.5, "Very high", IF(AllDataApr[[#This Row],[Phosphate (PPM)]]&gt;0.1, "High", IF(AllDataApr[[#This Row],[Phosphate (PPM)]]&gt;0.05, "Some evidence", IF(AllDataApr[[#This Row],[Phosphate (PPM)]]=0, ""))))</f>
        <v>Very high</v>
      </c>
      <c r="U7">
        <v>0</v>
      </c>
      <c r="V7" t="s">
        <v>21</v>
      </c>
    </row>
    <row r="8" spans="1:22" x14ac:dyDescent="0.3">
      <c r="A8" t="s">
        <v>891</v>
      </c>
      <c r="B8" s="2">
        <v>45123</v>
      </c>
      <c r="C8" s="2" t="str" cm="1">
        <f t="array" ref="C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8">
        <f>YEAR(AllDataApr[[#This Row],[Date]])</f>
        <v>2023</v>
      </c>
      <c r="E8" s="1">
        <v>0.69097222222222221</v>
      </c>
      <c r="F8" s="2" t="str">
        <f>IF(AND(AllDataApr[[#This Row],[Time]]&lt;0.5, AllDataApr[[#This Row],[Time]]&gt;0.17)=TRUE, "Morning", IF(AND(AllDataApr[[#This Row],[Time]]&lt;0.75, AllDataApr[[#This Row],[Time]]&gt;=0.5)=TRUE, "Afternoon", IF(AND(AllDataApr[[#This Row],[Time]]&lt;1, AllDataApr[[#This Row],[Time]]&gt;=0.75)=TRUE, "Evening", "Night")))</f>
        <v>Afternoon</v>
      </c>
      <c r="G8" t="s">
        <v>20</v>
      </c>
      <c r="H8" t="str">
        <f>_xlfn.XLOOKUP(AllDataApr[[#This Row],[Location Name]], Locations[Row Labels],Locations[Group As])</f>
        <v>Welford Boat Station</v>
      </c>
      <c r="I8" t="str">
        <f>_xlfn.XLOOKUP(AllDataApr[[#This Row],[Site Name]],LocationsKey[Site Name],LocationsKey[Region])</f>
        <v>Stratford</v>
      </c>
      <c r="J8" t="str">
        <f>_xlfn.XLOOKUP(AllDataApr[[#This Row],[Site Name]],LocationsKey[Site Name], LocationsKey[Waterway])</f>
        <v>Avon</v>
      </c>
      <c r="K8" t="s">
        <v>22</v>
      </c>
      <c r="L8">
        <v>52.175240000000002</v>
      </c>
      <c r="M8">
        <v>-1.7918700000000001</v>
      </c>
      <c r="N8" t="s">
        <v>200</v>
      </c>
      <c r="O8">
        <v>732</v>
      </c>
      <c r="P8">
        <v>19.5</v>
      </c>
      <c r="Q8">
        <v>7</v>
      </c>
      <c r="R8" s="7" t="str">
        <f>IF(AllDataApr[[#This Row],[Nitrate (PPM)]]&gt;2, "Very high", IF(AllDataApr[[#This Row],[Nitrate (PPM)]]&gt;1, "High", IF(AllDataApr[[#This Row],[Nitrate (PPM)]]&gt;0.5, "Some evidence", IF(AllDataApr[[#This Row],[Nitrate (PPM)]]&gt;0, "No evidence", IF(AllDataApr[[#This Row],[Nitrate (PPM)]]=0, "")))))</f>
        <v>Very high</v>
      </c>
      <c r="S8">
        <v>0.61</v>
      </c>
      <c r="T8" s="7" t="str">
        <f>IF(AllDataApr[[#This Row],[Phosphate (PPM)]]&gt;0.5, "Very high", IF(AllDataApr[[#This Row],[Phosphate (PPM)]]&gt;0.1, "High", IF(AllDataApr[[#This Row],[Phosphate (PPM)]]&gt;0.05, "Some evidence", IF(AllDataApr[[#This Row],[Phosphate (PPM)]]=0, ""))))</f>
        <v>Very high</v>
      </c>
      <c r="U8">
        <v>0</v>
      </c>
      <c r="V8" t="s">
        <v>21</v>
      </c>
    </row>
    <row r="9" spans="1:22" x14ac:dyDescent="0.3">
      <c r="A9" t="s">
        <v>890</v>
      </c>
      <c r="B9" s="2">
        <v>45129</v>
      </c>
      <c r="C9" s="2" t="str" cm="1">
        <f t="array" ref="C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9">
        <f>YEAR(AllDataApr[[#This Row],[Date]])</f>
        <v>2023</v>
      </c>
      <c r="E9" s="1">
        <v>0.76736111111111116</v>
      </c>
      <c r="F9" s="2" t="str">
        <f>IF(AND(AllDataApr[[#This Row],[Time]]&lt;0.5, AllDataApr[[#This Row],[Time]]&gt;0.17)=TRUE, "Morning", IF(AND(AllDataApr[[#This Row],[Time]]&lt;0.75, AllDataApr[[#This Row],[Time]]&gt;=0.5)=TRUE, "Afternoon", IF(AND(AllDataApr[[#This Row],[Time]]&lt;1, AllDataApr[[#This Row],[Time]]&gt;=0.75)=TRUE, "Evening", "Night")))</f>
        <v>Evening</v>
      </c>
      <c r="G9" t="s">
        <v>20</v>
      </c>
      <c r="H9" t="str">
        <f>_xlfn.XLOOKUP(AllDataApr[[#This Row],[Location Name]], Locations[Row Labels],Locations[Group As])</f>
        <v>Weston-on-Avon</v>
      </c>
      <c r="I9" t="str">
        <f>_xlfn.XLOOKUP(AllDataApr[[#This Row],[Site Name]],LocationsKey[Site Name],LocationsKey[Region])</f>
        <v>Stratford</v>
      </c>
      <c r="J9" t="str">
        <f>_xlfn.XLOOKUP(AllDataApr[[#This Row],[Site Name]],LocationsKey[Site Name], LocationsKey[Waterway])</f>
        <v>Avon</v>
      </c>
      <c r="K9" t="s">
        <v>23</v>
      </c>
      <c r="L9">
        <v>52.167430000000003</v>
      </c>
      <c r="M9">
        <v>-1.7744800000000001</v>
      </c>
      <c r="N9" t="s">
        <v>200</v>
      </c>
      <c r="O9">
        <v>900</v>
      </c>
      <c r="P9">
        <v>18.399999999999999</v>
      </c>
      <c r="Q9">
        <v>2</v>
      </c>
      <c r="R9" s="7" t="str">
        <f>IF(AllDataApr[[#This Row],[Nitrate (PPM)]]&gt;2, "Very high", IF(AllDataApr[[#This Row],[Nitrate (PPM)]]&gt;1, "High", IF(AllDataApr[[#This Row],[Nitrate (PPM)]]&gt;0.5, "Some evidence", IF(AllDataApr[[#This Row],[Nitrate (PPM)]]&gt;0, "No evidence", IF(AllDataApr[[#This Row],[Nitrate (PPM)]]=0, "")))))</f>
        <v>High</v>
      </c>
      <c r="S9">
        <v>0.9</v>
      </c>
      <c r="T9" s="7" t="str">
        <f>IF(AllDataApr[[#This Row],[Phosphate (PPM)]]&gt;0.5, "Very high", IF(AllDataApr[[#This Row],[Phosphate (PPM)]]&gt;0.1, "High", IF(AllDataApr[[#This Row],[Phosphate (PPM)]]&gt;0.05, "Some evidence", IF(AllDataApr[[#This Row],[Phosphate (PPM)]]=0, ""))))</f>
        <v>Very high</v>
      </c>
      <c r="U9">
        <v>0</v>
      </c>
      <c r="V9" t="s">
        <v>24</v>
      </c>
    </row>
    <row r="10" spans="1:22" x14ac:dyDescent="0.3">
      <c r="A10" t="s">
        <v>889</v>
      </c>
      <c r="B10" s="2">
        <v>45130</v>
      </c>
      <c r="C10" s="2" t="str" cm="1">
        <f t="array" ref="C1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10">
        <f>YEAR(AllDataApr[[#This Row],[Date]])</f>
        <v>2023</v>
      </c>
      <c r="E10" s="1">
        <v>0.34513888888888888</v>
      </c>
      <c r="F10" s="2" t="str">
        <f>IF(AND(AllDataApr[[#This Row],[Time]]&lt;0.5, AllDataApr[[#This Row],[Time]]&gt;0.17)=TRUE, "Morning", IF(AND(AllDataApr[[#This Row],[Time]]&lt;0.75, AllDataApr[[#This Row],[Time]]&gt;=0.5)=TRUE, "Afternoon", IF(AND(AllDataApr[[#This Row],[Time]]&lt;1, AllDataApr[[#This Row],[Time]]&gt;=0.75)=TRUE, "Evening", "Night")))</f>
        <v>Morning</v>
      </c>
      <c r="G10" t="s">
        <v>11</v>
      </c>
      <c r="H10" t="str">
        <f>_xlfn.XLOOKUP(AllDataApr[[#This Row],[Location Name]], Locations[Row Labels],Locations[Group As])</f>
        <v>Abbey Mill</v>
      </c>
      <c r="I10" t="str">
        <f>_xlfn.XLOOKUP(AllDataApr[[#This Row],[Site Name]],LocationsKey[Site Name],LocationsKey[Region])</f>
        <v>Tewkesbury</v>
      </c>
      <c r="J10" t="str">
        <f>_xlfn.XLOOKUP(AllDataApr[[#This Row],[Site Name]],LocationsKey[Site Name], LocationsKey[Waterway])</f>
        <v>Avon</v>
      </c>
      <c r="K10" t="s">
        <v>12</v>
      </c>
      <c r="L10">
        <v>51.991394999999997</v>
      </c>
      <c r="M10">
        <v>-2.1626370000000001</v>
      </c>
      <c r="N10" t="s">
        <v>200</v>
      </c>
      <c r="O10">
        <v>819</v>
      </c>
      <c r="P10">
        <v>19.3</v>
      </c>
      <c r="Q10">
        <v>12</v>
      </c>
      <c r="R10" s="7" t="str">
        <f>IF(AllDataApr[[#This Row],[Nitrate (PPM)]]&gt;2, "Very high", IF(AllDataApr[[#This Row],[Nitrate (PPM)]]&gt;1, "High", IF(AllDataApr[[#This Row],[Nitrate (PPM)]]&gt;0.5, "Some evidence", IF(AllDataApr[[#This Row],[Nitrate (PPM)]]&gt;0, "No evidence", IF(AllDataApr[[#This Row],[Nitrate (PPM)]]=0, "")))))</f>
        <v>Very high</v>
      </c>
      <c r="S10">
        <v>0.86</v>
      </c>
      <c r="T10" s="7" t="str">
        <f>IF(AllDataApr[[#This Row],[Phosphate (PPM)]]&gt;0.5, "Very high", IF(AllDataApr[[#This Row],[Phosphate (PPM)]]&gt;0.1, "High", IF(AllDataApr[[#This Row],[Phosphate (PPM)]]&gt;0.05, "Some evidence", IF(AllDataApr[[#This Row],[Phosphate (PPM)]]=0, ""))))</f>
        <v>Very high</v>
      </c>
      <c r="U10">
        <v>0</v>
      </c>
    </row>
    <row r="11" spans="1:22" x14ac:dyDescent="0.3">
      <c r="A11" t="s">
        <v>888</v>
      </c>
      <c r="B11" s="2">
        <v>45130</v>
      </c>
      <c r="C11" s="2" t="str" cm="1">
        <f t="array" ref="C1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11">
        <f>YEAR(AllDataApr[[#This Row],[Date]])</f>
        <v>2023</v>
      </c>
      <c r="E11" s="1">
        <v>0.41319444444444442</v>
      </c>
      <c r="F11" s="2" t="str">
        <f>IF(AND(AllDataApr[[#This Row],[Time]]&lt;0.5, AllDataApr[[#This Row],[Time]]&gt;0.17)=TRUE, "Morning", IF(AND(AllDataApr[[#This Row],[Time]]&lt;0.75, AllDataApr[[#This Row],[Time]]&gt;=0.5)=TRUE, "Afternoon", IF(AND(AllDataApr[[#This Row],[Time]]&lt;1, AllDataApr[[#This Row],[Time]]&gt;=0.75)=TRUE, "Evening", "Night")))</f>
        <v>Morning</v>
      </c>
      <c r="G11" t="s">
        <v>20</v>
      </c>
      <c r="H11" t="str">
        <f>_xlfn.XLOOKUP(AllDataApr[[#This Row],[Location Name]], Locations[Row Labels],Locations[Group As])</f>
        <v>Hampton Wood</v>
      </c>
      <c r="I11" t="str">
        <f>_xlfn.XLOOKUP(AllDataApr[[#This Row],[Site Name]],LocationsKey[Site Name],LocationsKey[Region])</f>
        <v>Stratford</v>
      </c>
      <c r="J11" t="str">
        <f>_xlfn.XLOOKUP(AllDataApr[[#This Row],[Site Name]],LocationsKey[Site Name], LocationsKey[Waterway])</f>
        <v>Avon</v>
      </c>
      <c r="K11" t="s">
        <v>25</v>
      </c>
      <c r="L11">
        <v>52.238149999999997</v>
      </c>
      <c r="M11">
        <v>-1.6245799999999999</v>
      </c>
      <c r="N11" t="s">
        <v>200</v>
      </c>
      <c r="O11">
        <v>806</v>
      </c>
      <c r="P11">
        <v>18.5</v>
      </c>
      <c r="Q11">
        <v>5</v>
      </c>
      <c r="R11" s="7" t="str">
        <f>IF(AllDataApr[[#This Row],[Nitrate (PPM)]]&gt;2, "Very high", IF(AllDataApr[[#This Row],[Nitrate (PPM)]]&gt;1, "High", IF(AllDataApr[[#This Row],[Nitrate (PPM)]]&gt;0.5, "Some evidence", IF(AllDataApr[[#This Row],[Nitrate (PPM)]]&gt;0, "No evidence", IF(AllDataApr[[#This Row],[Nitrate (PPM)]]=0, "")))))</f>
        <v>Very high</v>
      </c>
      <c r="S11">
        <v>0.6</v>
      </c>
      <c r="T11" s="7" t="str">
        <f>IF(AllDataApr[[#This Row],[Phosphate (PPM)]]&gt;0.5, "Very high", IF(AllDataApr[[#This Row],[Phosphate (PPM)]]&gt;0.1, "High", IF(AllDataApr[[#This Row],[Phosphate (PPM)]]&gt;0.05, "Some evidence", IF(AllDataApr[[#This Row],[Phosphate (PPM)]]=0, ""))))</f>
        <v>Very high</v>
      </c>
      <c r="U11">
        <v>0</v>
      </c>
      <c r="V11" t="s">
        <v>26</v>
      </c>
    </row>
    <row r="12" spans="1:22" x14ac:dyDescent="0.3">
      <c r="A12" t="s">
        <v>887</v>
      </c>
      <c r="B12" s="2">
        <v>45130</v>
      </c>
      <c r="C12" s="2" t="str" cm="1">
        <f t="array" ref="C1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12">
        <f>YEAR(AllDataApr[[#This Row],[Date]])</f>
        <v>2023</v>
      </c>
      <c r="E12" s="1">
        <v>0.49305555555555558</v>
      </c>
      <c r="F12" s="2" t="str">
        <f>IF(AND(AllDataApr[[#This Row],[Time]]&lt;0.5, AllDataApr[[#This Row],[Time]]&gt;0.17)=TRUE, "Morning", IF(AND(AllDataApr[[#This Row],[Time]]&lt;0.75, AllDataApr[[#This Row],[Time]]&gt;=0.5)=TRUE, "Afternoon", IF(AND(AllDataApr[[#This Row],[Time]]&lt;1, AllDataApr[[#This Row],[Time]]&gt;=0.75)=TRUE, "Evening", "Night")))</f>
        <v>Morning</v>
      </c>
      <c r="G12" t="s">
        <v>20</v>
      </c>
      <c r="H12" t="str">
        <f>_xlfn.XLOOKUP(AllDataApr[[#This Row],[Location Name]], Locations[Row Labels],Locations[Group As])</f>
        <v>Hampton Lucy</v>
      </c>
      <c r="I12" t="str">
        <f>_xlfn.XLOOKUP(AllDataApr[[#This Row],[Site Name]],LocationsKey[Site Name],LocationsKey[Region])</f>
        <v>Stratford</v>
      </c>
      <c r="J12" t="str">
        <f>_xlfn.XLOOKUP(AllDataApr[[#This Row],[Site Name]],LocationsKey[Site Name], LocationsKey[Waterway])</f>
        <v>Avon</v>
      </c>
      <c r="K12" t="s">
        <v>27</v>
      </c>
      <c r="L12">
        <v>52.211680000000001</v>
      </c>
      <c r="M12">
        <v>-1.6244400000000001</v>
      </c>
      <c r="N12" t="s">
        <v>200</v>
      </c>
      <c r="O12">
        <v>840</v>
      </c>
      <c r="P12">
        <v>19.399999999999999</v>
      </c>
      <c r="Q12">
        <v>5</v>
      </c>
      <c r="R12" s="7" t="str">
        <f>IF(AllDataApr[[#This Row],[Nitrate (PPM)]]&gt;2, "Very high", IF(AllDataApr[[#This Row],[Nitrate (PPM)]]&gt;1, "High", IF(AllDataApr[[#This Row],[Nitrate (PPM)]]&gt;0.5, "Some evidence", IF(AllDataApr[[#This Row],[Nitrate (PPM)]]&gt;0, "No evidence", IF(AllDataApr[[#This Row],[Nitrate (PPM)]]=0, "")))))</f>
        <v>Very high</v>
      </c>
      <c r="S12">
        <v>0.6</v>
      </c>
      <c r="T12" s="7" t="str">
        <f>IF(AllDataApr[[#This Row],[Phosphate (PPM)]]&gt;0.5, "Very high", IF(AllDataApr[[#This Row],[Phosphate (PPM)]]&gt;0.1, "High", IF(AllDataApr[[#This Row],[Phosphate (PPM)]]&gt;0.05, "Some evidence", IF(AllDataApr[[#This Row],[Phosphate (PPM)]]=0, ""))))</f>
        <v>Very high</v>
      </c>
      <c r="U12">
        <v>0</v>
      </c>
      <c r="V12" t="s">
        <v>28</v>
      </c>
    </row>
    <row r="13" spans="1:22" x14ac:dyDescent="0.3">
      <c r="A13" t="s">
        <v>886</v>
      </c>
      <c r="B13" s="2">
        <v>45130</v>
      </c>
      <c r="C13" s="2" t="str" cm="1">
        <f t="array" ref="C1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13">
        <f>YEAR(AllDataApr[[#This Row],[Date]])</f>
        <v>2023</v>
      </c>
      <c r="E13" s="1">
        <v>0.66666666666666663</v>
      </c>
      <c r="F13" s="2" t="str">
        <f>IF(AND(AllDataApr[[#This Row],[Time]]&lt;0.5, AllDataApr[[#This Row],[Time]]&gt;0.17)=TRUE, "Morning", IF(AND(AllDataApr[[#This Row],[Time]]&lt;0.75, AllDataApr[[#This Row],[Time]]&gt;=0.5)=TRUE, "Afternoon", IF(AND(AllDataApr[[#This Row],[Time]]&lt;1, AllDataApr[[#This Row],[Time]]&gt;=0.75)=TRUE, "Evening", "Night")))</f>
        <v>Afternoon</v>
      </c>
      <c r="G13" t="s">
        <v>20</v>
      </c>
      <c r="H13" t="str">
        <f>_xlfn.XLOOKUP(AllDataApr[[#This Row],[Location Name]], Locations[Row Labels],Locations[Group As])</f>
        <v>Barton</v>
      </c>
      <c r="I13" t="str">
        <f>_xlfn.XLOOKUP(AllDataApr[[#This Row],[Site Name]],LocationsKey[Site Name],LocationsKey[Region])</f>
        <v>Stratford</v>
      </c>
      <c r="J13" t="str">
        <f>_xlfn.XLOOKUP(AllDataApr[[#This Row],[Site Name]],LocationsKey[Site Name], LocationsKey[Waterway])</f>
        <v>Avon</v>
      </c>
      <c r="K13" t="s">
        <v>29</v>
      </c>
      <c r="L13">
        <v>52.161209999999997</v>
      </c>
      <c r="M13">
        <v>-1.8301499999999999</v>
      </c>
      <c r="N13" t="s">
        <v>200</v>
      </c>
      <c r="O13">
        <v>832</v>
      </c>
      <c r="P13">
        <v>18.7</v>
      </c>
      <c r="Q13">
        <v>4</v>
      </c>
      <c r="R13" s="7" t="str">
        <f>IF(AllDataApr[[#This Row],[Nitrate (PPM)]]&gt;2, "Very high", IF(AllDataApr[[#This Row],[Nitrate (PPM)]]&gt;1, "High", IF(AllDataApr[[#This Row],[Nitrate (PPM)]]&gt;0.5, "Some evidence", IF(AllDataApr[[#This Row],[Nitrate (PPM)]]&gt;0, "No evidence", IF(AllDataApr[[#This Row],[Nitrate (PPM)]]=0, "")))))</f>
        <v>Very high</v>
      </c>
      <c r="S13">
        <v>0.71</v>
      </c>
      <c r="T13" s="7" t="str">
        <f>IF(AllDataApr[[#This Row],[Phosphate (PPM)]]&gt;0.5, "Very high", IF(AllDataApr[[#This Row],[Phosphate (PPM)]]&gt;0.1, "High", IF(AllDataApr[[#This Row],[Phosphate (PPM)]]&gt;0.05, "Some evidence", IF(AllDataApr[[#This Row],[Phosphate (PPM)]]=0, ""))))</f>
        <v>Very high</v>
      </c>
      <c r="U13">
        <v>0</v>
      </c>
      <c r="V13" t="s">
        <v>30</v>
      </c>
    </row>
    <row r="14" spans="1:22" x14ac:dyDescent="0.3">
      <c r="A14" t="s">
        <v>885</v>
      </c>
      <c r="B14" s="2">
        <v>45130</v>
      </c>
      <c r="C14" s="2" t="str" cm="1">
        <f t="array" ref="C1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14">
        <f>YEAR(AllDataApr[[#This Row],[Date]])</f>
        <v>2023</v>
      </c>
      <c r="E14" s="1">
        <v>0.77083333333333337</v>
      </c>
      <c r="F14" s="2" t="str">
        <f>IF(AND(AllDataApr[[#This Row],[Time]]&lt;0.5, AllDataApr[[#This Row],[Time]]&gt;0.17)=TRUE, "Morning", IF(AND(AllDataApr[[#This Row],[Time]]&lt;0.75, AllDataApr[[#This Row],[Time]]&gt;=0.5)=TRUE, "Afternoon", IF(AND(AllDataApr[[#This Row],[Time]]&lt;1, AllDataApr[[#This Row],[Time]]&gt;=0.75)=TRUE, "Evening", "Night")))</f>
        <v>Evening</v>
      </c>
      <c r="G14" t="s">
        <v>20</v>
      </c>
      <c r="H14" t="str">
        <f>_xlfn.XLOOKUP(AllDataApr[[#This Row],[Location Name]], Locations[Row Labels],Locations[Group As])</f>
        <v>Welford Boat Station</v>
      </c>
      <c r="I14" t="str">
        <f>_xlfn.XLOOKUP(AllDataApr[[#This Row],[Site Name]],LocationsKey[Site Name],LocationsKey[Region])</f>
        <v>Stratford</v>
      </c>
      <c r="J14" t="str">
        <f>_xlfn.XLOOKUP(AllDataApr[[#This Row],[Site Name]],LocationsKey[Site Name], LocationsKey[Waterway])</f>
        <v>Avon</v>
      </c>
      <c r="K14" t="s">
        <v>22</v>
      </c>
      <c r="L14">
        <v>52.175240000000002</v>
      </c>
      <c r="M14">
        <v>-1.7918700000000001</v>
      </c>
      <c r="N14" t="s">
        <v>200</v>
      </c>
      <c r="O14">
        <v>892</v>
      </c>
      <c r="P14">
        <v>19.100000000000001</v>
      </c>
      <c r="Q14">
        <v>7</v>
      </c>
      <c r="R14" s="7" t="str">
        <f>IF(AllDataApr[[#This Row],[Nitrate (PPM)]]&gt;2, "Very high", IF(AllDataApr[[#This Row],[Nitrate (PPM)]]&gt;1, "High", IF(AllDataApr[[#This Row],[Nitrate (PPM)]]&gt;0.5, "Some evidence", IF(AllDataApr[[#This Row],[Nitrate (PPM)]]&gt;0, "No evidence", IF(AllDataApr[[#This Row],[Nitrate (PPM)]]=0, "")))))</f>
        <v>Very high</v>
      </c>
      <c r="S14">
        <v>0.47</v>
      </c>
      <c r="T14" s="7" t="str">
        <f>IF(AllDataApr[[#This Row],[Phosphate (PPM)]]&gt;0.5, "Very high", IF(AllDataApr[[#This Row],[Phosphate (PPM)]]&gt;0.1, "High", IF(AllDataApr[[#This Row],[Phosphate (PPM)]]&gt;0.05, "Some evidence", IF(AllDataApr[[#This Row],[Phosphate (PPM)]]=0, ""))))</f>
        <v>High</v>
      </c>
      <c r="U14">
        <v>0</v>
      </c>
      <c r="V14" t="s">
        <v>31</v>
      </c>
    </row>
    <row r="15" spans="1:22" x14ac:dyDescent="0.3">
      <c r="A15" t="s">
        <v>884</v>
      </c>
      <c r="B15" s="2">
        <v>45132</v>
      </c>
      <c r="C15" s="2" t="str" cm="1">
        <f t="array" ref="C1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15">
        <f>YEAR(AllDataApr[[#This Row],[Date]])</f>
        <v>2023</v>
      </c>
      <c r="E15" s="1">
        <v>0.4777777777777778</v>
      </c>
      <c r="F15" s="2" t="str">
        <f>IF(AND(AllDataApr[[#This Row],[Time]]&lt;0.5, AllDataApr[[#This Row],[Time]]&gt;0.17)=TRUE, "Morning", IF(AND(AllDataApr[[#This Row],[Time]]&lt;0.75, AllDataApr[[#This Row],[Time]]&gt;=0.5)=TRUE, "Afternoon", IF(AND(AllDataApr[[#This Row],[Time]]&lt;1, AllDataApr[[#This Row],[Time]]&gt;=0.75)=TRUE, "Evening", "Night")))</f>
        <v>Morning</v>
      </c>
      <c r="G15" t="s">
        <v>16</v>
      </c>
      <c r="H15" t="str">
        <f>_xlfn.XLOOKUP(AllDataApr[[#This Row],[Location Name]], Locations[Row Labels],Locations[Group As])</f>
        <v>Twyning Fleet</v>
      </c>
      <c r="I15" t="str">
        <f>_xlfn.XLOOKUP(AllDataApr[[#This Row],[Site Name]],LocationsKey[Site Name],LocationsKey[Region])</f>
        <v>Tewkesbury</v>
      </c>
      <c r="J15" t="str">
        <f>_xlfn.XLOOKUP(AllDataApr[[#This Row],[Site Name]],LocationsKey[Site Name], LocationsKey[Waterway])</f>
        <v>Avon</v>
      </c>
      <c r="K15" t="s">
        <v>32</v>
      </c>
      <c r="L15">
        <v>52.027053000000002</v>
      </c>
      <c r="M15">
        <v>-2.1405430000000001</v>
      </c>
      <c r="N15" t="s">
        <v>18</v>
      </c>
      <c r="O15">
        <v>905</v>
      </c>
      <c r="P15">
        <v>19.5</v>
      </c>
      <c r="Q15">
        <v>10</v>
      </c>
      <c r="R15" s="7" t="str">
        <f>IF(AllDataApr[[#This Row],[Nitrate (PPM)]]&gt;2, "Very high", IF(AllDataApr[[#This Row],[Nitrate (PPM)]]&gt;1, "High", IF(AllDataApr[[#This Row],[Nitrate (PPM)]]&gt;0.5, "Some evidence", IF(AllDataApr[[#This Row],[Nitrate (PPM)]]&gt;0, "No evidence", IF(AllDataApr[[#This Row],[Nitrate (PPM)]]=0, "")))))</f>
        <v>Very high</v>
      </c>
      <c r="S15">
        <v>1</v>
      </c>
      <c r="T15" s="7" t="str">
        <f>IF(AllDataApr[[#This Row],[Phosphate (PPM)]]&gt;0.5, "Very high", IF(AllDataApr[[#This Row],[Phosphate (PPM)]]&gt;0.1, "High", IF(AllDataApr[[#This Row],[Phosphate (PPM)]]&gt;0.05, "Some evidence", IF(AllDataApr[[#This Row],[Phosphate (PPM)]]=0, ""))))</f>
        <v>Very high</v>
      </c>
      <c r="U15">
        <v>0</v>
      </c>
      <c r="V15" t="s">
        <v>33</v>
      </c>
    </row>
    <row r="16" spans="1:22" x14ac:dyDescent="0.3">
      <c r="A16" t="s">
        <v>883</v>
      </c>
      <c r="B16" s="2">
        <v>45134</v>
      </c>
      <c r="C16" s="2" t="str" cm="1">
        <f t="array" ref="C1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16">
        <f>YEAR(AllDataApr[[#This Row],[Date]])</f>
        <v>2023</v>
      </c>
      <c r="E16" s="1">
        <v>0.85416666666666663</v>
      </c>
      <c r="F16" s="2" t="str">
        <f>IF(AND(AllDataApr[[#This Row],[Time]]&lt;0.5, AllDataApr[[#This Row],[Time]]&gt;0.17)=TRUE, "Morning", IF(AND(AllDataApr[[#This Row],[Time]]&lt;0.75, AllDataApr[[#This Row],[Time]]&gt;=0.5)=TRUE, "Afternoon", IF(AND(AllDataApr[[#This Row],[Time]]&lt;1, AllDataApr[[#This Row],[Time]]&gt;=0.75)=TRUE, "Evening", "Night")))</f>
        <v>Evening</v>
      </c>
      <c r="G16" t="s">
        <v>11</v>
      </c>
      <c r="H16" t="str">
        <f>_xlfn.XLOOKUP(AllDataApr[[#This Row],[Location Name]], Locations[Row Labels],Locations[Group As])</f>
        <v>Abbey Mill</v>
      </c>
      <c r="I16" t="str">
        <f>_xlfn.XLOOKUP(AllDataApr[[#This Row],[Site Name]],LocationsKey[Site Name],LocationsKey[Region])</f>
        <v>Tewkesbury</v>
      </c>
      <c r="J16" t="str">
        <f>_xlfn.XLOOKUP(AllDataApr[[#This Row],[Site Name]],LocationsKey[Site Name], LocationsKey[Waterway])</f>
        <v>Avon</v>
      </c>
      <c r="K16" t="s">
        <v>12</v>
      </c>
      <c r="L16">
        <v>51.991571999999998</v>
      </c>
      <c r="M16">
        <v>-2.1628850000000002</v>
      </c>
      <c r="N16" t="s">
        <v>200</v>
      </c>
      <c r="O16">
        <v>856</v>
      </c>
      <c r="P16">
        <v>19.7</v>
      </c>
      <c r="Q16">
        <v>8</v>
      </c>
      <c r="R16" s="7" t="str">
        <f>IF(AllDataApr[[#This Row],[Nitrate (PPM)]]&gt;2, "Very high", IF(AllDataApr[[#This Row],[Nitrate (PPM)]]&gt;1, "High", IF(AllDataApr[[#This Row],[Nitrate (PPM)]]&gt;0.5, "Some evidence", IF(AllDataApr[[#This Row],[Nitrate (PPM)]]&gt;0, "No evidence", IF(AllDataApr[[#This Row],[Nitrate (PPM)]]=0, "")))))</f>
        <v>Very high</v>
      </c>
      <c r="S16">
        <v>1.1399999999999999</v>
      </c>
      <c r="T16" s="7" t="str">
        <f>IF(AllDataApr[[#This Row],[Phosphate (PPM)]]&gt;0.5, "Very high", IF(AllDataApr[[#This Row],[Phosphate (PPM)]]&gt;0.1, "High", IF(AllDataApr[[#This Row],[Phosphate (PPM)]]&gt;0.05, "Some evidence", IF(AllDataApr[[#This Row],[Phosphate (PPM)]]=0, ""))))</f>
        <v>Very high</v>
      </c>
      <c r="U16">
        <v>0</v>
      </c>
    </row>
    <row r="17" spans="1:22" x14ac:dyDescent="0.3">
      <c r="A17" t="s">
        <v>882</v>
      </c>
      <c r="B17" s="2">
        <v>45137</v>
      </c>
      <c r="C17" s="2" t="str" cm="1">
        <f t="array" ref="C1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17">
        <f>YEAR(AllDataApr[[#This Row],[Date]])</f>
        <v>2023</v>
      </c>
      <c r="E17" s="1">
        <v>0.40625</v>
      </c>
      <c r="F17" s="2" t="str">
        <f>IF(AND(AllDataApr[[#This Row],[Time]]&lt;0.5, AllDataApr[[#This Row],[Time]]&gt;0.17)=TRUE, "Morning", IF(AND(AllDataApr[[#This Row],[Time]]&lt;0.75, AllDataApr[[#This Row],[Time]]&gt;=0.5)=TRUE, "Afternoon", IF(AND(AllDataApr[[#This Row],[Time]]&lt;1, AllDataApr[[#This Row],[Time]]&gt;=0.75)=TRUE, "Evening", "Night")))</f>
        <v>Morning</v>
      </c>
      <c r="G17" t="s">
        <v>20</v>
      </c>
      <c r="H17" t="str">
        <f>_xlfn.XLOOKUP(AllDataApr[[#This Row],[Location Name]], Locations[Row Labels],Locations[Group As])</f>
        <v>Hampton Wood</v>
      </c>
      <c r="I17" t="str">
        <f>_xlfn.XLOOKUP(AllDataApr[[#This Row],[Site Name]],LocationsKey[Site Name],LocationsKey[Region])</f>
        <v>Stratford</v>
      </c>
      <c r="J17" t="str">
        <f>_xlfn.XLOOKUP(AllDataApr[[#This Row],[Site Name]],LocationsKey[Site Name], LocationsKey[Waterway])</f>
        <v>Avon</v>
      </c>
      <c r="K17" t="s">
        <v>25</v>
      </c>
      <c r="L17">
        <v>52.238149999999997</v>
      </c>
      <c r="M17">
        <v>-1.6245799999999999</v>
      </c>
      <c r="N17" t="s">
        <v>200</v>
      </c>
      <c r="O17">
        <v>734</v>
      </c>
      <c r="P17">
        <v>18.8</v>
      </c>
      <c r="Q17">
        <v>4</v>
      </c>
      <c r="R17" s="7" t="str">
        <f>IF(AllDataApr[[#This Row],[Nitrate (PPM)]]&gt;2, "Very high", IF(AllDataApr[[#This Row],[Nitrate (PPM)]]&gt;1, "High", IF(AllDataApr[[#This Row],[Nitrate (PPM)]]&gt;0.5, "Some evidence", IF(AllDataApr[[#This Row],[Nitrate (PPM)]]&gt;0, "No evidence", IF(AllDataApr[[#This Row],[Nitrate (PPM)]]=0, "")))))</f>
        <v>Very high</v>
      </c>
      <c r="S17">
        <v>0.83</v>
      </c>
      <c r="T17" s="7" t="str">
        <f>IF(AllDataApr[[#This Row],[Phosphate (PPM)]]&gt;0.5, "Very high", IF(AllDataApr[[#This Row],[Phosphate (PPM)]]&gt;0.1, "High", IF(AllDataApr[[#This Row],[Phosphate (PPM)]]&gt;0.05, "Some evidence", IF(AllDataApr[[#This Row],[Phosphate (PPM)]]=0, ""))))</f>
        <v>Very high</v>
      </c>
      <c r="U17">
        <v>0</v>
      </c>
      <c r="V17" t="s">
        <v>34</v>
      </c>
    </row>
    <row r="18" spans="1:22" x14ac:dyDescent="0.3">
      <c r="A18" t="s">
        <v>881</v>
      </c>
      <c r="B18" s="2">
        <v>45137</v>
      </c>
      <c r="C18" s="2" t="str" cm="1">
        <f t="array" ref="C1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18">
        <f>YEAR(AllDataApr[[#This Row],[Date]])</f>
        <v>2023</v>
      </c>
      <c r="E18" s="1">
        <v>0.52083333333333337</v>
      </c>
      <c r="F18" s="2" t="str">
        <f>IF(AND(AllDataApr[[#This Row],[Time]]&lt;0.5, AllDataApr[[#This Row],[Time]]&gt;0.17)=TRUE, "Morning", IF(AND(AllDataApr[[#This Row],[Time]]&lt;0.75, AllDataApr[[#This Row],[Time]]&gt;=0.5)=TRUE, "Afternoon", IF(AND(AllDataApr[[#This Row],[Time]]&lt;1, AllDataApr[[#This Row],[Time]]&gt;=0.75)=TRUE, "Evening", "Night")))</f>
        <v>Afternoon</v>
      </c>
      <c r="G18" t="s">
        <v>20</v>
      </c>
      <c r="H18" t="str">
        <f>_xlfn.XLOOKUP(AllDataApr[[#This Row],[Location Name]], Locations[Row Labels],Locations[Group As])</f>
        <v>Hampton Lucy</v>
      </c>
      <c r="I18" t="str">
        <f>_xlfn.XLOOKUP(AllDataApr[[#This Row],[Site Name]],LocationsKey[Site Name],LocationsKey[Region])</f>
        <v>Stratford</v>
      </c>
      <c r="J18" t="str">
        <f>_xlfn.XLOOKUP(AllDataApr[[#This Row],[Site Name]],LocationsKey[Site Name], LocationsKey[Waterway])</f>
        <v>Avon</v>
      </c>
      <c r="K18" t="s">
        <v>27</v>
      </c>
      <c r="L18">
        <v>52.211680000000001</v>
      </c>
      <c r="M18">
        <v>-1.6244400000000001</v>
      </c>
      <c r="N18" t="s">
        <v>200</v>
      </c>
      <c r="O18">
        <v>704</v>
      </c>
      <c r="P18">
        <v>19.399999999999999</v>
      </c>
      <c r="Q18">
        <v>5</v>
      </c>
      <c r="R18" s="7" t="str">
        <f>IF(AllDataApr[[#This Row],[Nitrate (PPM)]]&gt;2, "Very high", IF(AllDataApr[[#This Row],[Nitrate (PPM)]]&gt;1, "High", IF(AllDataApr[[#This Row],[Nitrate (PPM)]]&gt;0.5, "Some evidence", IF(AllDataApr[[#This Row],[Nitrate (PPM)]]&gt;0, "No evidence", IF(AllDataApr[[#This Row],[Nitrate (PPM)]]=0, "")))))</f>
        <v>Very high</v>
      </c>
      <c r="S18">
        <v>0.7</v>
      </c>
      <c r="T18" s="7" t="str">
        <f>IF(AllDataApr[[#This Row],[Phosphate (PPM)]]&gt;0.5, "Very high", IF(AllDataApr[[#This Row],[Phosphate (PPM)]]&gt;0.1, "High", IF(AllDataApr[[#This Row],[Phosphate (PPM)]]&gt;0.05, "Some evidence", IF(AllDataApr[[#This Row],[Phosphate (PPM)]]=0, ""))))</f>
        <v>Very high</v>
      </c>
      <c r="U18">
        <v>0</v>
      </c>
      <c r="V18" t="s">
        <v>34</v>
      </c>
    </row>
    <row r="19" spans="1:22" x14ac:dyDescent="0.3">
      <c r="A19" t="s">
        <v>880</v>
      </c>
      <c r="B19" s="2">
        <v>45138</v>
      </c>
      <c r="C19" s="2" t="str" cm="1">
        <f t="array" ref="C1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19">
        <f>YEAR(AllDataApr[[#This Row],[Date]])</f>
        <v>2023</v>
      </c>
      <c r="E19" s="1">
        <v>0.5</v>
      </c>
      <c r="F19" s="2" t="str">
        <f>IF(AND(AllDataApr[[#This Row],[Time]]&lt;0.5, AllDataApr[[#This Row],[Time]]&gt;0.17)=TRUE, "Morning", IF(AND(AllDataApr[[#This Row],[Time]]&lt;0.75, AllDataApr[[#This Row],[Time]]&gt;=0.5)=TRUE, "Afternoon", IF(AND(AllDataApr[[#This Row],[Time]]&lt;1, AllDataApr[[#This Row],[Time]]&gt;=0.75)=TRUE, "Evening", "Night")))</f>
        <v>Afternoon</v>
      </c>
      <c r="G19" t="s">
        <v>35</v>
      </c>
      <c r="H19" t="str">
        <f>_xlfn.XLOOKUP(AllDataApr[[#This Row],[Location Name]], Locations[Row Labels],Locations[Group As])</f>
        <v>Welford Boat Station</v>
      </c>
      <c r="I19" t="str">
        <f>_xlfn.XLOOKUP(AllDataApr[[#This Row],[Site Name]],LocationsKey[Site Name],LocationsKey[Region])</f>
        <v>Stratford</v>
      </c>
      <c r="J19" t="str">
        <f>_xlfn.XLOOKUP(AllDataApr[[#This Row],[Site Name]],LocationsKey[Site Name], LocationsKey[Waterway])</f>
        <v>Avon</v>
      </c>
      <c r="K19" t="s">
        <v>22</v>
      </c>
      <c r="L19">
        <v>52.175240000000002</v>
      </c>
      <c r="M19">
        <v>-1.7918700000000001</v>
      </c>
      <c r="N19" t="s">
        <v>200</v>
      </c>
      <c r="O19">
        <v>728</v>
      </c>
      <c r="P19">
        <v>18.7</v>
      </c>
      <c r="Q19">
        <v>4.5</v>
      </c>
      <c r="R19" s="7" t="str">
        <f>IF(AllDataApr[[#This Row],[Nitrate (PPM)]]&gt;2, "Very high", IF(AllDataApr[[#This Row],[Nitrate (PPM)]]&gt;1, "High", IF(AllDataApr[[#This Row],[Nitrate (PPM)]]&gt;0.5, "Some evidence", IF(AllDataApr[[#This Row],[Nitrate (PPM)]]&gt;0, "No evidence", IF(AllDataApr[[#This Row],[Nitrate (PPM)]]=0, "")))))</f>
        <v>Very high</v>
      </c>
      <c r="S19">
        <v>0.59</v>
      </c>
      <c r="T19" s="7" t="str">
        <f>IF(AllDataApr[[#This Row],[Phosphate (PPM)]]&gt;0.5, "Very high", IF(AllDataApr[[#This Row],[Phosphate (PPM)]]&gt;0.1, "High", IF(AllDataApr[[#This Row],[Phosphate (PPM)]]&gt;0.05, "Some evidence", IF(AllDataApr[[#This Row],[Phosphate (PPM)]]=0, ""))))</f>
        <v>Very high</v>
      </c>
      <c r="U19">
        <v>0</v>
      </c>
      <c r="V19" t="s">
        <v>36</v>
      </c>
    </row>
    <row r="20" spans="1:22" x14ac:dyDescent="0.3">
      <c r="A20" t="s">
        <v>879</v>
      </c>
      <c r="B20" s="2">
        <v>45138</v>
      </c>
      <c r="C20" s="2" t="str" cm="1">
        <f t="array" ref="C2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20">
        <f>YEAR(AllDataApr[[#This Row],[Date]])</f>
        <v>2023</v>
      </c>
      <c r="E20" s="1">
        <v>0.70833333333333337</v>
      </c>
      <c r="F20" s="2" t="str">
        <f>IF(AND(AllDataApr[[#This Row],[Time]]&lt;0.5, AllDataApr[[#This Row],[Time]]&gt;0.17)=TRUE, "Morning", IF(AND(AllDataApr[[#This Row],[Time]]&lt;0.75, AllDataApr[[#This Row],[Time]]&gt;=0.5)=TRUE, "Afternoon", IF(AND(AllDataApr[[#This Row],[Time]]&lt;1, AllDataApr[[#This Row],[Time]]&gt;=0.75)=TRUE, "Evening", "Night")))</f>
        <v>Afternoon</v>
      </c>
      <c r="G20" t="s">
        <v>20</v>
      </c>
      <c r="H20" t="str">
        <f>_xlfn.XLOOKUP(AllDataApr[[#This Row],[Location Name]], Locations[Row Labels],Locations[Group As])</f>
        <v>Barton</v>
      </c>
      <c r="I20" t="str">
        <f>_xlfn.XLOOKUP(AllDataApr[[#This Row],[Site Name]],LocationsKey[Site Name],LocationsKey[Region])</f>
        <v>Stratford</v>
      </c>
      <c r="J20" t="str">
        <f>_xlfn.XLOOKUP(AllDataApr[[#This Row],[Site Name]],LocationsKey[Site Name], LocationsKey[Waterway])</f>
        <v>Avon</v>
      </c>
      <c r="K20" t="s">
        <v>29</v>
      </c>
      <c r="L20">
        <v>52.161209999999997</v>
      </c>
      <c r="M20">
        <v>-1.8301499999999999</v>
      </c>
      <c r="N20" t="s">
        <v>200</v>
      </c>
      <c r="O20">
        <v>722</v>
      </c>
      <c r="P20">
        <v>17.5</v>
      </c>
      <c r="Q20">
        <v>4</v>
      </c>
      <c r="R20" s="7" t="str">
        <f>IF(AllDataApr[[#This Row],[Nitrate (PPM)]]&gt;2, "Very high", IF(AllDataApr[[#This Row],[Nitrate (PPM)]]&gt;1, "High", IF(AllDataApr[[#This Row],[Nitrate (PPM)]]&gt;0.5, "Some evidence", IF(AllDataApr[[#This Row],[Nitrate (PPM)]]&gt;0, "No evidence", IF(AllDataApr[[#This Row],[Nitrate (PPM)]]=0, "")))))</f>
        <v>Very high</v>
      </c>
      <c r="S20">
        <v>0.61</v>
      </c>
      <c r="T20" s="7" t="str">
        <f>IF(AllDataApr[[#This Row],[Phosphate (PPM)]]&gt;0.5, "Very high", IF(AllDataApr[[#This Row],[Phosphate (PPM)]]&gt;0.1, "High", IF(AllDataApr[[#This Row],[Phosphate (PPM)]]&gt;0.05, "Some evidence", IF(AllDataApr[[#This Row],[Phosphate (PPM)]]=0, ""))))</f>
        <v>Very high</v>
      </c>
      <c r="U20">
        <v>0</v>
      </c>
      <c r="V20" t="s">
        <v>37</v>
      </c>
    </row>
    <row r="21" spans="1:22" x14ac:dyDescent="0.3">
      <c r="A21" t="s">
        <v>877</v>
      </c>
      <c r="B21" s="2">
        <v>45139</v>
      </c>
      <c r="C21" s="2" t="str" cm="1">
        <f t="array" ref="C2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21">
        <f>YEAR(AllDataApr[[#This Row],[Date]])</f>
        <v>2023</v>
      </c>
      <c r="E21" s="1">
        <v>0.83333333333333337</v>
      </c>
      <c r="F21" s="2" t="str">
        <f>IF(AND(AllDataApr[[#This Row],[Time]]&lt;0.5, AllDataApr[[#This Row],[Time]]&gt;0.17)=TRUE, "Morning", IF(AND(AllDataApr[[#This Row],[Time]]&lt;0.75, AllDataApr[[#This Row],[Time]]&gt;=0.5)=TRUE, "Afternoon", IF(AND(AllDataApr[[#This Row],[Time]]&lt;1, AllDataApr[[#This Row],[Time]]&gt;=0.75)=TRUE, "Evening", "Night")))</f>
        <v>Evening</v>
      </c>
      <c r="G21" t="s">
        <v>38</v>
      </c>
      <c r="H21" t="str">
        <f>_xlfn.XLOOKUP(AllDataApr[[#This Row],[Location Name]], Locations[Row Labels],Locations[Group As])</f>
        <v>Avonbank Drive</v>
      </c>
      <c r="I21" t="str">
        <f>_xlfn.XLOOKUP(AllDataApr[[#This Row],[Site Name]],LocationsKey[Site Name],LocationsKey[Region])</f>
        <v>Stratford</v>
      </c>
      <c r="J21" t="str">
        <f>_xlfn.XLOOKUP(AllDataApr[[#This Row],[Site Name]],LocationsKey[Site Name], LocationsKey[Waterway])</f>
        <v>Avon</v>
      </c>
      <c r="K21" t="s">
        <v>41</v>
      </c>
      <c r="L21">
        <v>52.177095000000001</v>
      </c>
      <c r="M21">
        <v>-1.7357819999999999</v>
      </c>
      <c r="N21" t="s">
        <v>42</v>
      </c>
      <c r="O21">
        <v>893</v>
      </c>
      <c r="P21">
        <v>18.8</v>
      </c>
      <c r="Q21">
        <v>10</v>
      </c>
      <c r="R21" s="7" t="str">
        <f>IF(AllDataApr[[#This Row],[Nitrate (PPM)]]&gt;2, "Very high", IF(AllDataApr[[#This Row],[Nitrate (PPM)]]&gt;1, "High", IF(AllDataApr[[#This Row],[Nitrate (PPM)]]&gt;0.5, "Some evidence", IF(AllDataApr[[#This Row],[Nitrate (PPM)]]&gt;0, "No evidence", IF(AllDataApr[[#This Row],[Nitrate (PPM)]]=0, "")))))</f>
        <v>Very high</v>
      </c>
      <c r="S21">
        <v>0.5</v>
      </c>
      <c r="T21" s="7" t="str">
        <f>IF(AllDataApr[[#This Row],[Phosphate (PPM)]]&gt;0.5, "Very high", IF(AllDataApr[[#This Row],[Phosphate (PPM)]]&gt;0.1, "High", IF(AllDataApr[[#This Row],[Phosphate (PPM)]]&gt;0.05, "Some evidence", IF(AllDataApr[[#This Row],[Phosphate (PPM)]]=0, ""))))</f>
        <v>High</v>
      </c>
      <c r="U21">
        <v>0.6</v>
      </c>
      <c r="V21" t="s">
        <v>43</v>
      </c>
    </row>
    <row r="22" spans="1:22" x14ac:dyDescent="0.3">
      <c r="A22" t="s">
        <v>878</v>
      </c>
      <c r="B22" s="2">
        <v>45139</v>
      </c>
      <c r="C22" s="2" t="str" cm="1">
        <f t="array" ref="C2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22">
        <f>YEAR(AllDataApr[[#This Row],[Date]])</f>
        <v>2023</v>
      </c>
      <c r="E22" s="1">
        <v>0.85416666666666663</v>
      </c>
      <c r="F22" s="2" t="str">
        <f>IF(AND(AllDataApr[[#This Row],[Time]]&lt;0.5, AllDataApr[[#This Row],[Time]]&gt;0.17)=TRUE, "Morning", IF(AND(AllDataApr[[#This Row],[Time]]&lt;0.75, AllDataApr[[#This Row],[Time]]&gt;=0.5)=TRUE, "Afternoon", IF(AND(AllDataApr[[#This Row],[Time]]&lt;1, AllDataApr[[#This Row],[Time]]&gt;=0.75)=TRUE, "Evening", "Night")))</f>
        <v>Evening</v>
      </c>
      <c r="G22" t="s">
        <v>38</v>
      </c>
      <c r="H22" t="str">
        <f>_xlfn.XLOOKUP(AllDataApr[[#This Row],[Location Name]], Locations[Row Labels],Locations[Group As])</f>
        <v>Pitch 16</v>
      </c>
      <c r="I22" t="str">
        <f>_xlfn.XLOOKUP(AllDataApr[[#This Row],[Site Name]],LocationsKey[Site Name],LocationsKey[Region])</f>
        <v>Stratford</v>
      </c>
      <c r="J22" t="str">
        <f>_xlfn.XLOOKUP(AllDataApr[[#This Row],[Site Name]],LocationsKey[Site Name], LocationsKey[Waterway])</f>
        <v>Avon</v>
      </c>
      <c r="K22" t="s">
        <v>39</v>
      </c>
      <c r="L22">
        <v>52.178967999999998</v>
      </c>
      <c r="M22">
        <v>-1.7338849999999999</v>
      </c>
      <c r="N22" t="s">
        <v>18</v>
      </c>
      <c r="O22">
        <v>887</v>
      </c>
      <c r="P22">
        <v>18.600000000000001</v>
      </c>
      <c r="Q22">
        <v>10</v>
      </c>
      <c r="R22" s="7" t="str">
        <f>IF(AllDataApr[[#This Row],[Nitrate (PPM)]]&gt;2, "Very high", IF(AllDataApr[[#This Row],[Nitrate (PPM)]]&gt;1, "High", IF(AllDataApr[[#This Row],[Nitrate (PPM)]]&gt;0.5, "Some evidence", IF(AllDataApr[[#This Row],[Nitrate (PPM)]]&gt;0, "No evidence", IF(AllDataApr[[#This Row],[Nitrate (PPM)]]=0, "")))))</f>
        <v>Very high</v>
      </c>
      <c r="S22">
        <v>0.6</v>
      </c>
      <c r="T22" s="7" t="str">
        <f>IF(AllDataApr[[#This Row],[Phosphate (PPM)]]&gt;0.5, "Very high", IF(AllDataApr[[#This Row],[Phosphate (PPM)]]&gt;0.1, "High", IF(AllDataApr[[#This Row],[Phosphate (PPM)]]&gt;0.05, "Some evidence", IF(AllDataApr[[#This Row],[Phosphate (PPM)]]=0, ""))))</f>
        <v>Very high</v>
      </c>
      <c r="U22">
        <v>0.6</v>
      </c>
      <c r="V22" t="s">
        <v>40</v>
      </c>
    </row>
    <row r="23" spans="1:22" x14ac:dyDescent="0.3">
      <c r="A23" t="s">
        <v>868</v>
      </c>
      <c r="B23" s="2">
        <v>45142</v>
      </c>
      <c r="C23" s="2" t="str" cm="1">
        <f t="array" ref="C2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23">
        <f>YEAR(AllDataApr[[#This Row],[Date]])</f>
        <v>2023</v>
      </c>
      <c r="E23" s="1">
        <v>0.45833333333333331</v>
      </c>
      <c r="F23" s="2" t="str">
        <f>IF(AND(AllDataApr[[#This Row],[Time]]&lt;0.5, AllDataApr[[#This Row],[Time]]&gt;0.17)=TRUE, "Morning", IF(AND(AllDataApr[[#This Row],[Time]]&lt;0.75, AllDataApr[[#This Row],[Time]]&gt;=0.5)=TRUE, "Afternoon", IF(AND(AllDataApr[[#This Row],[Time]]&lt;1, AllDataApr[[#This Row],[Time]]&gt;=0.75)=TRUE, "Evening", "Night")))</f>
        <v>Morning</v>
      </c>
      <c r="G23" t="s">
        <v>48</v>
      </c>
      <c r="H23" t="str">
        <f>_xlfn.XLOOKUP(AllDataApr[[#This Row],[Location Name]], Locations[Row Labels],Locations[Group As])</f>
        <v>Pitch 16</v>
      </c>
      <c r="I23" t="str">
        <f>_xlfn.XLOOKUP(AllDataApr[[#This Row],[Site Name]],LocationsKey[Site Name],LocationsKey[Region])</f>
        <v>Stratford</v>
      </c>
      <c r="J23" t="str">
        <f>_xlfn.XLOOKUP(AllDataApr[[#This Row],[Site Name]],LocationsKey[Site Name], LocationsKey[Waterway])</f>
        <v>Avon</v>
      </c>
      <c r="K23" t="s">
        <v>39</v>
      </c>
      <c r="L23">
        <v>52.170859</v>
      </c>
      <c r="M23">
        <v>-1.7432030000000001</v>
      </c>
      <c r="N23" t="s">
        <v>18</v>
      </c>
      <c r="O23">
        <v>892</v>
      </c>
      <c r="P23">
        <v>18.5</v>
      </c>
      <c r="Q23">
        <v>10</v>
      </c>
      <c r="R23" s="7" t="str">
        <f>IF(AllDataApr[[#This Row],[Nitrate (PPM)]]&gt;2, "Very high", IF(AllDataApr[[#This Row],[Nitrate (PPM)]]&gt;1, "High", IF(AllDataApr[[#This Row],[Nitrate (PPM)]]&gt;0.5, "Some evidence", IF(AllDataApr[[#This Row],[Nitrate (PPM)]]&gt;0, "No evidence", IF(AllDataApr[[#This Row],[Nitrate (PPM)]]=0, "")))))</f>
        <v>Very high</v>
      </c>
      <c r="S23">
        <v>0.56999999999999995</v>
      </c>
      <c r="T23" s="7" t="str">
        <f>IF(AllDataApr[[#This Row],[Phosphate (PPM)]]&gt;0.5, "Very high", IF(AllDataApr[[#This Row],[Phosphate (PPM)]]&gt;0.1, "High", IF(AllDataApr[[#This Row],[Phosphate (PPM)]]&gt;0.05, "Some evidence", IF(AllDataApr[[#This Row],[Phosphate (PPM)]]=0, ""))))</f>
        <v>Very high</v>
      </c>
      <c r="U23">
        <v>0.62</v>
      </c>
    </row>
    <row r="24" spans="1:22" x14ac:dyDescent="0.3">
      <c r="A24" t="s">
        <v>867</v>
      </c>
      <c r="B24" s="2">
        <v>45142</v>
      </c>
      <c r="C24" s="2" t="str" cm="1">
        <f t="array" ref="C2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24">
        <f>YEAR(AllDataApr[[#This Row],[Date]])</f>
        <v>2023</v>
      </c>
      <c r="E24" s="1">
        <v>0.47569444444444442</v>
      </c>
      <c r="F24" s="2" t="str">
        <f>IF(AND(AllDataApr[[#This Row],[Time]]&lt;0.5, AllDataApr[[#This Row],[Time]]&gt;0.17)=TRUE, "Morning", IF(AND(AllDataApr[[#This Row],[Time]]&lt;0.75, AllDataApr[[#This Row],[Time]]&gt;=0.5)=TRUE, "Afternoon", IF(AND(AllDataApr[[#This Row],[Time]]&lt;1, AllDataApr[[#This Row],[Time]]&gt;=0.75)=TRUE, "Evening", "Night")))</f>
        <v>Morning</v>
      </c>
      <c r="G24" t="s">
        <v>48</v>
      </c>
      <c r="H24" t="str">
        <f>_xlfn.XLOOKUP(AllDataApr[[#This Row],[Location Name]], Locations[Row Labels],Locations[Group As])</f>
        <v>Avonbank Drive</v>
      </c>
      <c r="I24" t="str">
        <f>_xlfn.XLOOKUP(AllDataApr[[#This Row],[Site Name]],LocationsKey[Site Name],LocationsKey[Region])</f>
        <v>Stratford</v>
      </c>
      <c r="J24" t="str">
        <f>_xlfn.XLOOKUP(AllDataApr[[#This Row],[Site Name]],LocationsKey[Site Name], LocationsKey[Waterway])</f>
        <v>Avon</v>
      </c>
      <c r="K24" t="s">
        <v>41</v>
      </c>
      <c r="L24">
        <v>52.177238000000003</v>
      </c>
      <c r="M24">
        <v>-1.73556</v>
      </c>
      <c r="N24" t="s">
        <v>42</v>
      </c>
      <c r="O24">
        <v>896</v>
      </c>
      <c r="P24">
        <v>19.2</v>
      </c>
      <c r="Q24">
        <v>10</v>
      </c>
      <c r="R24" s="7" t="str">
        <f>IF(AllDataApr[[#This Row],[Nitrate (PPM)]]&gt;2, "Very high", IF(AllDataApr[[#This Row],[Nitrate (PPM)]]&gt;1, "High", IF(AllDataApr[[#This Row],[Nitrate (PPM)]]&gt;0.5, "Some evidence", IF(AllDataApr[[#This Row],[Nitrate (PPM)]]&gt;0, "No evidence", IF(AllDataApr[[#This Row],[Nitrate (PPM)]]=0, "")))))</f>
        <v>Very high</v>
      </c>
      <c r="S24">
        <v>0.46</v>
      </c>
      <c r="T24" s="7" t="str">
        <f>IF(AllDataApr[[#This Row],[Phosphate (PPM)]]&gt;0.5, "Very high", IF(AllDataApr[[#This Row],[Phosphate (PPM)]]&gt;0.1, "High", IF(AllDataApr[[#This Row],[Phosphate (PPM)]]&gt;0.05, "Some evidence", IF(AllDataApr[[#This Row],[Phosphate (PPM)]]=0, ""))))</f>
        <v>High</v>
      </c>
      <c r="U24">
        <v>0.62</v>
      </c>
    </row>
    <row r="25" spans="1:22" x14ac:dyDescent="0.3">
      <c r="A25" t="s">
        <v>876</v>
      </c>
      <c r="B25" s="2">
        <v>45143</v>
      </c>
      <c r="C25" s="2" t="str" cm="1">
        <f t="array" ref="C2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25">
        <f>YEAR(AllDataApr[[#This Row],[Date]])</f>
        <v>2023</v>
      </c>
      <c r="E25" s="1">
        <v>0.42777777777777776</v>
      </c>
      <c r="F25" s="2" t="str">
        <f>IF(AND(AllDataApr[[#This Row],[Time]]&lt;0.5, AllDataApr[[#This Row],[Time]]&gt;0.17)=TRUE, "Morning", IF(AND(AllDataApr[[#This Row],[Time]]&lt;0.75, AllDataApr[[#This Row],[Time]]&gt;=0.5)=TRUE, "Afternoon", IF(AND(AllDataApr[[#This Row],[Time]]&lt;1, AllDataApr[[#This Row],[Time]]&gt;=0.75)=TRUE, "Evening", "Night")))</f>
        <v>Morning</v>
      </c>
      <c r="G25" t="s">
        <v>11</v>
      </c>
      <c r="H25" t="str">
        <f>_xlfn.XLOOKUP(AllDataApr[[#This Row],[Location Name]], Locations[Row Labels],Locations[Group As])</f>
        <v>Abbey Mill</v>
      </c>
      <c r="I25" t="str">
        <f>_xlfn.XLOOKUP(AllDataApr[[#This Row],[Site Name]],LocationsKey[Site Name],LocationsKey[Region])</f>
        <v>Tewkesbury</v>
      </c>
      <c r="J25" t="str">
        <f>_xlfn.XLOOKUP(AllDataApr[[#This Row],[Site Name]],LocationsKey[Site Name], LocationsKey[Waterway])</f>
        <v>Avon</v>
      </c>
      <c r="K25" t="s">
        <v>12</v>
      </c>
      <c r="L25">
        <v>51.991447999999998</v>
      </c>
      <c r="M25">
        <v>-2.1628289999999999</v>
      </c>
      <c r="N25" t="s">
        <v>200</v>
      </c>
      <c r="O25">
        <v>905</v>
      </c>
      <c r="P25">
        <v>18.399999999999999</v>
      </c>
      <c r="Q25">
        <v>8</v>
      </c>
      <c r="R25" s="7" t="str">
        <f>IF(AllDataApr[[#This Row],[Nitrate (PPM)]]&gt;2, "Very high", IF(AllDataApr[[#This Row],[Nitrate (PPM)]]&gt;1, "High", IF(AllDataApr[[#This Row],[Nitrate (PPM)]]&gt;0.5, "Some evidence", IF(AllDataApr[[#This Row],[Nitrate (PPM)]]&gt;0, "No evidence", IF(AllDataApr[[#This Row],[Nitrate (PPM)]]=0, "")))))</f>
        <v>Very high</v>
      </c>
      <c r="S25">
        <v>0.99</v>
      </c>
      <c r="T25" s="7" t="str">
        <f>IF(AllDataApr[[#This Row],[Phosphate (PPM)]]&gt;0.5, "Very high", IF(AllDataApr[[#This Row],[Phosphate (PPM)]]&gt;0.1, "High", IF(AllDataApr[[#This Row],[Phosphate (PPM)]]&gt;0.05, "Some evidence", IF(AllDataApr[[#This Row],[Phosphate (PPM)]]=0, ""))))</f>
        <v>Very high</v>
      </c>
      <c r="U25">
        <v>0</v>
      </c>
    </row>
    <row r="26" spans="1:22" x14ac:dyDescent="0.3">
      <c r="A26" t="s">
        <v>875</v>
      </c>
      <c r="B26" s="2">
        <v>45143</v>
      </c>
      <c r="C26" s="2" t="str" cm="1">
        <f t="array" ref="C2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26">
        <f>YEAR(AllDataApr[[#This Row],[Date]])</f>
        <v>2023</v>
      </c>
      <c r="E26" s="1">
        <v>0.64583333333333337</v>
      </c>
      <c r="F26" s="2" t="str">
        <f>IF(AND(AllDataApr[[#This Row],[Time]]&lt;0.5, AllDataApr[[#This Row],[Time]]&gt;0.17)=TRUE, "Morning", IF(AND(AllDataApr[[#This Row],[Time]]&lt;0.75, AllDataApr[[#This Row],[Time]]&gt;=0.5)=TRUE, "Afternoon", IF(AND(AllDataApr[[#This Row],[Time]]&lt;1, AllDataApr[[#This Row],[Time]]&gt;=0.75)=TRUE, "Evening", "Night")))</f>
        <v>Afternoon</v>
      </c>
      <c r="G26" t="s">
        <v>20</v>
      </c>
      <c r="H26" t="str">
        <f>_xlfn.XLOOKUP(AllDataApr[[#This Row],[Location Name]], Locations[Row Labels],Locations[Group As])</f>
        <v>Weston-on-Avon</v>
      </c>
      <c r="I26" t="str">
        <f>_xlfn.XLOOKUP(AllDataApr[[#This Row],[Site Name]],LocationsKey[Site Name],LocationsKey[Region])</f>
        <v>Stratford</v>
      </c>
      <c r="J26" t="str">
        <f>_xlfn.XLOOKUP(AllDataApr[[#This Row],[Site Name]],LocationsKey[Site Name], LocationsKey[Waterway])</f>
        <v>Avon</v>
      </c>
      <c r="K26" t="s">
        <v>23</v>
      </c>
      <c r="L26">
        <v>52.167430000000003</v>
      </c>
      <c r="M26">
        <v>-1.7744800000000001</v>
      </c>
      <c r="N26" t="s">
        <v>200</v>
      </c>
      <c r="O26">
        <v>912</v>
      </c>
      <c r="P26">
        <v>18</v>
      </c>
      <c r="Q26">
        <v>4</v>
      </c>
      <c r="R26" s="7" t="str">
        <f>IF(AllDataApr[[#This Row],[Nitrate (PPM)]]&gt;2, "Very high", IF(AllDataApr[[#This Row],[Nitrate (PPM)]]&gt;1, "High", IF(AllDataApr[[#This Row],[Nitrate (PPM)]]&gt;0.5, "Some evidence", IF(AllDataApr[[#This Row],[Nitrate (PPM)]]&gt;0, "No evidence", IF(AllDataApr[[#This Row],[Nitrate (PPM)]]=0, "")))))</f>
        <v>Very high</v>
      </c>
      <c r="S26">
        <v>0.78</v>
      </c>
      <c r="T26" s="7" t="str">
        <f>IF(AllDataApr[[#This Row],[Phosphate (PPM)]]&gt;0.5, "Very high", IF(AllDataApr[[#This Row],[Phosphate (PPM)]]&gt;0.1, "High", IF(AllDataApr[[#This Row],[Phosphate (PPM)]]&gt;0.05, "Some evidence", IF(AllDataApr[[#This Row],[Phosphate (PPM)]]=0, ""))))</f>
        <v>Very high</v>
      </c>
      <c r="U26">
        <v>0</v>
      </c>
    </row>
    <row r="27" spans="1:22" x14ac:dyDescent="0.3">
      <c r="A27" t="s">
        <v>874</v>
      </c>
      <c r="B27" s="2">
        <v>45144</v>
      </c>
      <c r="C27" s="2" t="str" cm="1">
        <f t="array" ref="C2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27">
        <f>YEAR(AllDataApr[[#This Row],[Date]])</f>
        <v>2023</v>
      </c>
      <c r="E27" s="1">
        <v>0.47916666666666669</v>
      </c>
      <c r="F27" s="2" t="str">
        <f>IF(AND(AllDataApr[[#This Row],[Time]]&lt;0.5, AllDataApr[[#This Row],[Time]]&gt;0.17)=TRUE, "Morning", IF(AND(AllDataApr[[#This Row],[Time]]&lt;0.75, AllDataApr[[#This Row],[Time]]&gt;=0.5)=TRUE, "Afternoon", IF(AND(AllDataApr[[#This Row],[Time]]&lt;1, AllDataApr[[#This Row],[Time]]&gt;=0.75)=TRUE, "Evening", "Night")))</f>
        <v>Morning</v>
      </c>
      <c r="G27" t="s">
        <v>20</v>
      </c>
      <c r="H27" t="str">
        <f>_xlfn.XLOOKUP(AllDataApr[[#This Row],[Location Name]], Locations[Row Labels],Locations[Group As])</f>
        <v>Hampton Wood</v>
      </c>
      <c r="I27" t="str">
        <f>_xlfn.XLOOKUP(AllDataApr[[#This Row],[Site Name]],LocationsKey[Site Name],LocationsKey[Region])</f>
        <v>Stratford</v>
      </c>
      <c r="J27" t="str">
        <f>_xlfn.XLOOKUP(AllDataApr[[#This Row],[Site Name]],LocationsKey[Site Name], LocationsKey[Waterway])</f>
        <v>Avon</v>
      </c>
      <c r="K27" t="s">
        <v>25</v>
      </c>
      <c r="L27">
        <v>52.238149999999997</v>
      </c>
      <c r="M27">
        <v>-1.6245799999999999</v>
      </c>
      <c r="N27" t="s">
        <v>200</v>
      </c>
      <c r="O27">
        <v>778</v>
      </c>
      <c r="P27">
        <v>17.399999999999999</v>
      </c>
      <c r="Q27">
        <v>6</v>
      </c>
      <c r="R27" s="7" t="str">
        <f>IF(AllDataApr[[#This Row],[Nitrate (PPM)]]&gt;2, "Very high", IF(AllDataApr[[#This Row],[Nitrate (PPM)]]&gt;1, "High", IF(AllDataApr[[#This Row],[Nitrate (PPM)]]&gt;0.5, "Some evidence", IF(AllDataApr[[#This Row],[Nitrate (PPM)]]&gt;0, "No evidence", IF(AllDataApr[[#This Row],[Nitrate (PPM)]]=0, "")))))</f>
        <v>Very high</v>
      </c>
      <c r="S27">
        <v>0.56999999999999995</v>
      </c>
      <c r="T27" s="7" t="str">
        <f>IF(AllDataApr[[#This Row],[Phosphate (PPM)]]&gt;0.5, "Very high", IF(AllDataApr[[#This Row],[Phosphate (PPM)]]&gt;0.1, "High", IF(AllDataApr[[#This Row],[Phosphate (PPM)]]&gt;0.05, "Some evidence", IF(AllDataApr[[#This Row],[Phosphate (PPM)]]=0, ""))))</f>
        <v>Very high</v>
      </c>
      <c r="U27">
        <v>0</v>
      </c>
    </row>
    <row r="28" spans="1:22" x14ac:dyDescent="0.3">
      <c r="A28" t="s">
        <v>873</v>
      </c>
      <c r="B28" s="2">
        <v>45144</v>
      </c>
      <c r="C28" s="2" t="str" cm="1">
        <f t="array" ref="C2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28">
        <f>YEAR(AllDataApr[[#This Row],[Date]])</f>
        <v>2023</v>
      </c>
      <c r="E28" s="1">
        <v>0.54166666666666663</v>
      </c>
      <c r="F28" s="2" t="str">
        <f>IF(AND(AllDataApr[[#This Row],[Time]]&lt;0.5, AllDataApr[[#This Row],[Time]]&gt;0.17)=TRUE, "Morning", IF(AND(AllDataApr[[#This Row],[Time]]&lt;0.75, AllDataApr[[#This Row],[Time]]&gt;=0.5)=TRUE, "Afternoon", IF(AND(AllDataApr[[#This Row],[Time]]&lt;1, AllDataApr[[#This Row],[Time]]&gt;=0.75)=TRUE, "Evening", "Night")))</f>
        <v>Afternoon</v>
      </c>
      <c r="G28" t="s">
        <v>20</v>
      </c>
      <c r="H28" t="str">
        <f>_xlfn.XLOOKUP(AllDataApr[[#This Row],[Location Name]], Locations[Row Labels],Locations[Group As])</f>
        <v>Hampton Lucy</v>
      </c>
      <c r="I28" t="str">
        <f>_xlfn.XLOOKUP(AllDataApr[[#This Row],[Site Name]],LocationsKey[Site Name],LocationsKey[Region])</f>
        <v>Stratford</v>
      </c>
      <c r="J28" t="str">
        <f>_xlfn.XLOOKUP(AllDataApr[[#This Row],[Site Name]],LocationsKey[Site Name], LocationsKey[Waterway])</f>
        <v>Avon</v>
      </c>
      <c r="K28" t="s">
        <v>27</v>
      </c>
      <c r="L28">
        <v>52.211680000000001</v>
      </c>
      <c r="M28">
        <v>-1.6244400000000001</v>
      </c>
      <c r="O28">
        <v>784</v>
      </c>
      <c r="P28">
        <v>17.7</v>
      </c>
      <c r="Q28">
        <v>5</v>
      </c>
      <c r="R28" s="7" t="str">
        <f>IF(AllDataApr[[#This Row],[Nitrate (PPM)]]&gt;2, "Very high", IF(AllDataApr[[#This Row],[Nitrate (PPM)]]&gt;1, "High", IF(AllDataApr[[#This Row],[Nitrate (PPM)]]&gt;0.5, "Some evidence", IF(AllDataApr[[#This Row],[Nitrate (PPM)]]&gt;0, "No evidence", IF(AllDataApr[[#This Row],[Nitrate (PPM)]]=0, "")))))</f>
        <v>Very high</v>
      </c>
      <c r="S28">
        <v>0.67</v>
      </c>
      <c r="T28" s="7" t="str">
        <f>IF(AllDataApr[[#This Row],[Phosphate (PPM)]]&gt;0.5, "Very high", IF(AllDataApr[[#This Row],[Phosphate (PPM)]]&gt;0.1, "High", IF(AllDataApr[[#This Row],[Phosphate (PPM)]]&gt;0.05, "Some evidence", IF(AllDataApr[[#This Row],[Phosphate (PPM)]]=0, ""))))</f>
        <v>Very high</v>
      </c>
      <c r="U28">
        <v>0</v>
      </c>
    </row>
    <row r="29" spans="1:22" x14ac:dyDescent="0.3">
      <c r="A29" t="s">
        <v>872</v>
      </c>
      <c r="B29" s="2">
        <v>45145</v>
      </c>
      <c r="C29" s="2" t="str" cm="1">
        <f t="array" ref="C2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29">
        <f>YEAR(AllDataApr[[#This Row],[Date]])</f>
        <v>2023</v>
      </c>
      <c r="E29" s="1">
        <v>0.625</v>
      </c>
      <c r="F29" s="2" t="str">
        <f>IF(AND(AllDataApr[[#This Row],[Time]]&lt;0.5, AllDataApr[[#This Row],[Time]]&gt;0.17)=TRUE, "Morning", IF(AND(AllDataApr[[#This Row],[Time]]&lt;0.75, AllDataApr[[#This Row],[Time]]&gt;=0.5)=TRUE, "Afternoon", IF(AND(AllDataApr[[#This Row],[Time]]&lt;1, AllDataApr[[#This Row],[Time]]&gt;=0.75)=TRUE, "Evening", "Night")))</f>
        <v>Afternoon</v>
      </c>
      <c r="G29" t="s">
        <v>35</v>
      </c>
      <c r="H29" t="str">
        <f>_xlfn.XLOOKUP(AllDataApr[[#This Row],[Location Name]], Locations[Row Labels],Locations[Group As])</f>
        <v>Welford Boat Station</v>
      </c>
      <c r="I29" t="str">
        <f>_xlfn.XLOOKUP(AllDataApr[[#This Row],[Site Name]],LocationsKey[Site Name],LocationsKey[Region])</f>
        <v>Stratford</v>
      </c>
      <c r="J29" t="str">
        <f>_xlfn.XLOOKUP(AllDataApr[[#This Row],[Site Name]],LocationsKey[Site Name], LocationsKey[Waterway])</f>
        <v>Avon</v>
      </c>
      <c r="K29" t="s">
        <v>22</v>
      </c>
      <c r="L29">
        <v>52.175240000000002</v>
      </c>
      <c r="M29">
        <v>-1.7918700000000001</v>
      </c>
      <c r="N29" t="s">
        <v>18</v>
      </c>
      <c r="O29">
        <v>848</v>
      </c>
      <c r="P29">
        <v>17.2</v>
      </c>
      <c r="Q29">
        <v>9.5</v>
      </c>
      <c r="R29" s="7" t="str">
        <f>IF(AllDataApr[[#This Row],[Nitrate (PPM)]]&gt;2, "Very high", IF(AllDataApr[[#This Row],[Nitrate (PPM)]]&gt;1, "High", IF(AllDataApr[[#This Row],[Nitrate (PPM)]]&gt;0.5, "Some evidence", IF(AllDataApr[[#This Row],[Nitrate (PPM)]]&gt;0, "No evidence", IF(AllDataApr[[#This Row],[Nitrate (PPM)]]=0, "")))))</f>
        <v>Very high</v>
      </c>
      <c r="S29">
        <v>0.62</v>
      </c>
      <c r="T29" s="7" t="str">
        <f>IF(AllDataApr[[#This Row],[Phosphate (PPM)]]&gt;0.5, "Very high", IF(AllDataApr[[#This Row],[Phosphate (PPM)]]&gt;0.1, "High", IF(AllDataApr[[#This Row],[Phosphate (PPM)]]&gt;0.05, "Some evidence", IF(AllDataApr[[#This Row],[Phosphate (PPM)]]=0, ""))))</f>
        <v>Very high</v>
      </c>
      <c r="U29">
        <v>0</v>
      </c>
      <c r="V29" t="s">
        <v>44</v>
      </c>
    </row>
    <row r="30" spans="1:22" x14ac:dyDescent="0.3">
      <c r="A30" t="s">
        <v>871</v>
      </c>
      <c r="B30" s="2">
        <v>45145</v>
      </c>
      <c r="C30" s="2" t="str" cm="1">
        <f t="array" ref="C3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30">
        <f>YEAR(AllDataApr[[#This Row],[Date]])</f>
        <v>2023</v>
      </c>
      <c r="E30" s="1">
        <v>0.70833333333333337</v>
      </c>
      <c r="F30" s="2" t="str">
        <f>IF(AND(AllDataApr[[#This Row],[Time]]&lt;0.5, AllDataApr[[#This Row],[Time]]&gt;0.17)=TRUE, "Morning", IF(AND(AllDataApr[[#This Row],[Time]]&lt;0.75, AllDataApr[[#This Row],[Time]]&gt;=0.5)=TRUE, "Afternoon", IF(AND(AllDataApr[[#This Row],[Time]]&lt;1, AllDataApr[[#This Row],[Time]]&gt;=0.75)=TRUE, "Evening", "Night")))</f>
        <v>Afternoon</v>
      </c>
      <c r="G30" t="s">
        <v>20</v>
      </c>
      <c r="H30" t="str">
        <f>_xlfn.XLOOKUP(AllDataApr[[#This Row],[Location Name]], Locations[Row Labels],Locations[Group As])</f>
        <v>Barton</v>
      </c>
      <c r="I30" t="str">
        <f>_xlfn.XLOOKUP(AllDataApr[[#This Row],[Site Name]],LocationsKey[Site Name],LocationsKey[Region])</f>
        <v>Stratford</v>
      </c>
      <c r="J30" t="str">
        <f>_xlfn.XLOOKUP(AllDataApr[[#This Row],[Site Name]],LocationsKey[Site Name], LocationsKey[Waterway])</f>
        <v>Avon</v>
      </c>
      <c r="K30" t="s">
        <v>29</v>
      </c>
      <c r="L30">
        <v>52.161209999999997</v>
      </c>
      <c r="M30">
        <v>-1.8301499999999999</v>
      </c>
      <c r="N30" t="s">
        <v>1047</v>
      </c>
      <c r="O30">
        <v>808</v>
      </c>
      <c r="P30">
        <v>17.399999999999999</v>
      </c>
      <c r="Q30">
        <v>4</v>
      </c>
      <c r="R30" s="7" t="str">
        <f>IF(AllDataApr[[#This Row],[Nitrate (PPM)]]&gt;2, "Very high", IF(AllDataApr[[#This Row],[Nitrate (PPM)]]&gt;1, "High", IF(AllDataApr[[#This Row],[Nitrate (PPM)]]&gt;0.5, "Some evidence", IF(AllDataApr[[#This Row],[Nitrate (PPM)]]&gt;0, "No evidence", IF(AllDataApr[[#This Row],[Nitrate (PPM)]]=0, "")))))</f>
        <v>Very high</v>
      </c>
      <c r="S30">
        <v>0.57999999999999996</v>
      </c>
      <c r="T30" s="7" t="str">
        <f>IF(AllDataApr[[#This Row],[Phosphate (PPM)]]&gt;0.5, "Very high", IF(AllDataApr[[#This Row],[Phosphate (PPM)]]&gt;0.1, "High", IF(AllDataApr[[#This Row],[Phosphate (PPM)]]&gt;0.05, "Some evidence", IF(AllDataApr[[#This Row],[Phosphate (PPM)]]=0, ""))))</f>
        <v>Very high</v>
      </c>
      <c r="U30">
        <v>0</v>
      </c>
    </row>
    <row r="31" spans="1:22" x14ac:dyDescent="0.3">
      <c r="A31" t="s">
        <v>870</v>
      </c>
      <c r="B31" s="2">
        <v>45146</v>
      </c>
      <c r="C31" s="2" t="str" cm="1">
        <f t="array" ref="C3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31">
        <f>YEAR(AllDataApr[[#This Row],[Date]])</f>
        <v>2023</v>
      </c>
      <c r="E31" s="1">
        <v>0.75208333333333333</v>
      </c>
      <c r="F31" s="2" t="str">
        <f>IF(AND(AllDataApr[[#This Row],[Time]]&lt;0.5, AllDataApr[[#This Row],[Time]]&gt;0.17)=TRUE, "Morning", IF(AND(AllDataApr[[#This Row],[Time]]&lt;0.75, AllDataApr[[#This Row],[Time]]&gt;=0.5)=TRUE, "Afternoon", IF(AND(AllDataApr[[#This Row],[Time]]&lt;1, AllDataApr[[#This Row],[Time]]&gt;=0.75)=TRUE, "Evening", "Night")))</f>
        <v>Evening</v>
      </c>
      <c r="G31" t="s">
        <v>16</v>
      </c>
      <c r="H31" t="str">
        <f>_xlfn.XLOOKUP(AllDataApr[[#This Row],[Location Name]], Locations[Row Labels],Locations[Group As])</f>
        <v>Twyning Fleet</v>
      </c>
      <c r="I31" t="str">
        <f>_xlfn.XLOOKUP(AllDataApr[[#This Row],[Site Name]],LocationsKey[Site Name],LocationsKey[Region])</f>
        <v>Tewkesbury</v>
      </c>
      <c r="J31" t="str">
        <f>_xlfn.XLOOKUP(AllDataApr[[#This Row],[Site Name]],LocationsKey[Site Name], LocationsKey[Waterway])</f>
        <v>Avon</v>
      </c>
      <c r="K31" t="s">
        <v>32</v>
      </c>
      <c r="L31">
        <v>52.02702</v>
      </c>
      <c r="M31">
        <v>-2.1406339999999999</v>
      </c>
      <c r="N31" t="s">
        <v>18</v>
      </c>
      <c r="O31">
        <v>926</v>
      </c>
      <c r="P31">
        <v>18.399999999999999</v>
      </c>
      <c r="Q31">
        <v>10</v>
      </c>
      <c r="R31" s="7" t="str">
        <f>IF(AllDataApr[[#This Row],[Nitrate (PPM)]]&gt;2, "Very high", IF(AllDataApr[[#This Row],[Nitrate (PPM)]]&gt;1, "High", IF(AllDataApr[[#This Row],[Nitrate (PPM)]]&gt;0.5, "Some evidence", IF(AllDataApr[[#This Row],[Nitrate (PPM)]]&gt;0, "No evidence", IF(AllDataApr[[#This Row],[Nitrate (PPM)]]=0, "")))))</f>
        <v>Very high</v>
      </c>
      <c r="S31">
        <v>1.17</v>
      </c>
      <c r="T31" s="7" t="str">
        <f>IF(AllDataApr[[#This Row],[Phosphate (PPM)]]&gt;0.5, "Very high", IF(AllDataApr[[#This Row],[Phosphate (PPM)]]&gt;0.1, "High", IF(AllDataApr[[#This Row],[Phosphate (PPM)]]&gt;0.05, "Some evidence", IF(AllDataApr[[#This Row],[Phosphate (PPM)]]=0, ""))))</f>
        <v>Very high</v>
      </c>
      <c r="U31">
        <v>0</v>
      </c>
      <c r="V31" t="s">
        <v>45</v>
      </c>
    </row>
    <row r="32" spans="1:22" x14ac:dyDescent="0.3">
      <c r="A32" t="s">
        <v>869</v>
      </c>
      <c r="B32" s="2">
        <v>45148</v>
      </c>
      <c r="C32" s="2" t="str" cm="1">
        <f t="array" ref="C3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32">
        <f>YEAR(AllDataApr[[#This Row],[Date]])</f>
        <v>2023</v>
      </c>
      <c r="E32" s="1">
        <v>0.43125000000000002</v>
      </c>
      <c r="F32" s="2" t="str">
        <f>IF(AND(AllDataApr[[#This Row],[Time]]&lt;0.5, AllDataApr[[#This Row],[Time]]&gt;0.17)=TRUE, "Morning", IF(AND(AllDataApr[[#This Row],[Time]]&lt;0.75, AllDataApr[[#This Row],[Time]]&gt;=0.5)=TRUE, "Afternoon", IF(AND(AllDataApr[[#This Row],[Time]]&lt;1, AllDataApr[[#This Row],[Time]]&gt;=0.75)=TRUE, "Evening", "Night")))</f>
        <v>Morning</v>
      </c>
      <c r="G32" t="s">
        <v>46</v>
      </c>
      <c r="H32" t="str">
        <f>_xlfn.XLOOKUP(AllDataApr[[#This Row],[Location Name]], Locations[Row Labels],Locations[Group As])</f>
        <v>Swilgate</v>
      </c>
      <c r="I32" t="str">
        <f>_xlfn.XLOOKUP(AllDataApr[[#This Row],[Site Name]],LocationsKey[Site Name],LocationsKey[Region])</f>
        <v>Tewkesbury</v>
      </c>
      <c r="J32" t="str">
        <f>_xlfn.XLOOKUP(AllDataApr[[#This Row],[Site Name]],LocationsKey[Site Name], LocationsKey[Waterway])</f>
        <v>Swilgate</v>
      </c>
      <c r="K32" t="s">
        <v>47</v>
      </c>
      <c r="L32">
        <v>51.988591</v>
      </c>
      <c r="M32">
        <v>-2.1640419999999998</v>
      </c>
      <c r="N32" t="s">
        <v>200</v>
      </c>
      <c r="O32">
        <v>806</v>
      </c>
      <c r="P32">
        <v>18.600000000000001</v>
      </c>
      <c r="Q32">
        <v>8</v>
      </c>
      <c r="R32" s="7" t="str">
        <f>IF(AllDataApr[[#This Row],[Nitrate (PPM)]]&gt;2, "Very high", IF(AllDataApr[[#This Row],[Nitrate (PPM)]]&gt;1, "High", IF(AllDataApr[[#This Row],[Nitrate (PPM)]]&gt;0.5, "Some evidence", IF(AllDataApr[[#This Row],[Nitrate (PPM)]]&gt;0, "No evidence", IF(AllDataApr[[#This Row],[Nitrate (PPM)]]=0, "")))))</f>
        <v>Very high</v>
      </c>
      <c r="S32">
        <v>0.76</v>
      </c>
      <c r="T32" s="7" t="str">
        <f>IF(AllDataApr[[#This Row],[Phosphate (PPM)]]&gt;0.5, "Very high", IF(AllDataApr[[#This Row],[Phosphate (PPM)]]&gt;0.1, "High", IF(AllDataApr[[#This Row],[Phosphate (PPM)]]&gt;0.05, "Some evidence", IF(AllDataApr[[#This Row],[Phosphate (PPM)]]=0, ""))))</f>
        <v>Very high</v>
      </c>
      <c r="U32">
        <v>0</v>
      </c>
    </row>
    <row r="33" spans="1:22" x14ac:dyDescent="0.3">
      <c r="A33" t="s">
        <v>866</v>
      </c>
      <c r="B33" s="2">
        <v>45150</v>
      </c>
      <c r="C33" s="2" t="str" cm="1">
        <f t="array" ref="C3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33">
        <f>YEAR(AllDataApr[[#This Row],[Date]])</f>
        <v>2023</v>
      </c>
      <c r="E33" s="1">
        <v>0.43055555555555558</v>
      </c>
      <c r="F33" s="2" t="str">
        <f>IF(AND(AllDataApr[[#This Row],[Time]]&lt;0.5, AllDataApr[[#This Row],[Time]]&gt;0.17)=TRUE, "Morning", IF(AND(AllDataApr[[#This Row],[Time]]&lt;0.75, AllDataApr[[#This Row],[Time]]&gt;=0.5)=TRUE, "Afternoon", IF(AND(AllDataApr[[#This Row],[Time]]&lt;1, AllDataApr[[#This Row],[Time]]&gt;=0.75)=TRUE, "Evening", "Night")))</f>
        <v>Morning</v>
      </c>
      <c r="G33" t="s">
        <v>38</v>
      </c>
      <c r="H33" t="str">
        <f>_xlfn.XLOOKUP(AllDataApr[[#This Row],[Location Name]], Locations[Row Labels],Locations[Group As])</f>
        <v>Pitch 16</v>
      </c>
      <c r="I33" t="str">
        <f>_xlfn.XLOOKUP(AllDataApr[[#This Row],[Site Name]],LocationsKey[Site Name],LocationsKey[Region])</f>
        <v>Stratford</v>
      </c>
      <c r="J33" t="str">
        <f>_xlfn.XLOOKUP(AllDataApr[[#This Row],[Site Name]],LocationsKey[Site Name], LocationsKey[Waterway])</f>
        <v>Avon</v>
      </c>
      <c r="K33" t="s">
        <v>39</v>
      </c>
      <c r="L33">
        <v>52.172640000000001</v>
      </c>
      <c r="M33">
        <v>-1.7453590000000001</v>
      </c>
      <c r="N33" t="s">
        <v>18</v>
      </c>
      <c r="O33">
        <v>929</v>
      </c>
      <c r="P33">
        <v>20.2</v>
      </c>
      <c r="Q33">
        <v>10</v>
      </c>
      <c r="R33" s="7" t="str">
        <f>IF(AllDataApr[[#This Row],[Nitrate (PPM)]]&gt;2, "Very high", IF(AllDataApr[[#This Row],[Nitrate (PPM)]]&gt;1, "High", IF(AllDataApr[[#This Row],[Nitrate (PPM)]]&gt;0.5, "Some evidence", IF(AllDataApr[[#This Row],[Nitrate (PPM)]]&gt;0, "No evidence", IF(AllDataApr[[#This Row],[Nitrate (PPM)]]=0, "")))))</f>
        <v>Very high</v>
      </c>
      <c r="S33">
        <v>0.51</v>
      </c>
      <c r="T33" s="7" t="str">
        <f>IF(AllDataApr[[#This Row],[Phosphate (PPM)]]&gt;0.5, "Very high", IF(AllDataApr[[#This Row],[Phosphate (PPM)]]&gt;0.1, "High", IF(AllDataApr[[#This Row],[Phosphate (PPM)]]&gt;0.05, "Some evidence", IF(AllDataApr[[#This Row],[Phosphate (PPM)]]=0, ""))))</f>
        <v>Very high</v>
      </c>
      <c r="U33">
        <v>0.59</v>
      </c>
      <c r="V33" t="s">
        <v>49</v>
      </c>
    </row>
    <row r="34" spans="1:22" x14ac:dyDescent="0.3">
      <c r="A34" t="s">
        <v>865</v>
      </c>
      <c r="B34" s="2">
        <v>45150</v>
      </c>
      <c r="C34" s="2" t="str" cm="1">
        <f t="array" ref="C3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34">
        <f>YEAR(AllDataApr[[#This Row],[Date]])</f>
        <v>2023</v>
      </c>
      <c r="E34" s="1">
        <v>0.44861111111111113</v>
      </c>
      <c r="F34" s="2" t="str">
        <f>IF(AND(AllDataApr[[#This Row],[Time]]&lt;0.5, AllDataApr[[#This Row],[Time]]&gt;0.17)=TRUE, "Morning", IF(AND(AllDataApr[[#This Row],[Time]]&lt;0.75, AllDataApr[[#This Row],[Time]]&gt;=0.5)=TRUE, "Afternoon", IF(AND(AllDataApr[[#This Row],[Time]]&lt;1, AllDataApr[[#This Row],[Time]]&gt;=0.75)=TRUE, "Evening", "Night")))</f>
        <v>Morning</v>
      </c>
      <c r="G34" t="s">
        <v>38</v>
      </c>
      <c r="H34" t="str">
        <f>_xlfn.XLOOKUP(AllDataApr[[#This Row],[Location Name]], Locations[Row Labels],Locations[Group As])</f>
        <v>Avonbank Drive</v>
      </c>
      <c r="I34" t="str">
        <f>_xlfn.XLOOKUP(AllDataApr[[#This Row],[Site Name]],LocationsKey[Site Name],LocationsKey[Region])</f>
        <v>Stratford</v>
      </c>
      <c r="J34" t="str">
        <f>_xlfn.XLOOKUP(AllDataApr[[#This Row],[Site Name]],LocationsKey[Site Name], LocationsKey[Waterway])</f>
        <v>Avon</v>
      </c>
      <c r="K34" t="s">
        <v>41</v>
      </c>
      <c r="L34">
        <v>52.177168999999999</v>
      </c>
      <c r="M34">
        <v>-1.7357689999999999</v>
      </c>
      <c r="N34" t="s">
        <v>42</v>
      </c>
      <c r="O34">
        <v>951</v>
      </c>
      <c r="P34">
        <v>20</v>
      </c>
      <c r="Q34">
        <v>10</v>
      </c>
      <c r="R34" s="7" t="str">
        <f>IF(AllDataApr[[#This Row],[Nitrate (PPM)]]&gt;2, "Very high", IF(AllDataApr[[#This Row],[Nitrate (PPM)]]&gt;1, "High", IF(AllDataApr[[#This Row],[Nitrate (PPM)]]&gt;0.5, "Some evidence", IF(AllDataApr[[#This Row],[Nitrate (PPM)]]&gt;0, "No evidence", IF(AllDataApr[[#This Row],[Nitrate (PPM)]]=0, "")))))</f>
        <v>Very high</v>
      </c>
      <c r="S34">
        <v>0.54</v>
      </c>
      <c r="T34" s="7" t="str">
        <f>IF(AllDataApr[[#This Row],[Phosphate (PPM)]]&gt;0.5, "Very high", IF(AllDataApr[[#This Row],[Phosphate (PPM)]]&gt;0.1, "High", IF(AllDataApr[[#This Row],[Phosphate (PPM)]]&gt;0.05, "Some evidence", IF(AllDataApr[[#This Row],[Phosphate (PPM)]]=0, ""))))</f>
        <v>Very high</v>
      </c>
      <c r="U34">
        <v>0.59</v>
      </c>
      <c r="V34" t="s">
        <v>50</v>
      </c>
    </row>
    <row r="35" spans="1:22" x14ac:dyDescent="0.3">
      <c r="A35" t="s">
        <v>857</v>
      </c>
      <c r="B35" s="2">
        <v>45150</v>
      </c>
      <c r="C35" s="2" t="str" cm="1">
        <f t="array" ref="C3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35">
        <f>YEAR(AllDataApr[[#This Row],[Date]])</f>
        <v>2023</v>
      </c>
      <c r="E35" s="1">
        <v>0.64583333333333337</v>
      </c>
      <c r="F35" s="2" t="str">
        <f>IF(AND(AllDataApr[[#This Row],[Time]]&lt;0.5, AllDataApr[[#This Row],[Time]]&gt;0.17)=TRUE, "Morning", IF(AND(AllDataApr[[#This Row],[Time]]&lt;0.75, AllDataApr[[#This Row],[Time]]&gt;=0.5)=TRUE, "Afternoon", IF(AND(AllDataApr[[#This Row],[Time]]&lt;1, AllDataApr[[#This Row],[Time]]&gt;=0.75)=TRUE, "Evening", "Night")))</f>
        <v>Afternoon</v>
      </c>
      <c r="G35" t="s">
        <v>52</v>
      </c>
      <c r="H35" t="str">
        <f>_xlfn.XLOOKUP(AllDataApr[[#This Row],[Location Name]], Locations[Row Labels],Locations[Group As])</f>
        <v>Carrant Bredon Rd</v>
      </c>
      <c r="I35" t="str">
        <f>_xlfn.XLOOKUP(AllDataApr[[#This Row],[Site Name]],LocationsKey[Site Name],LocationsKey[Region])</f>
        <v>Tewkesbury</v>
      </c>
      <c r="J35" t="str">
        <f>_xlfn.XLOOKUP(AllDataApr[[#This Row],[Site Name]],LocationsKey[Site Name], LocationsKey[Waterway])</f>
        <v>Carrant</v>
      </c>
      <c r="K35" t="s">
        <v>53</v>
      </c>
      <c r="N35" t="s">
        <v>200</v>
      </c>
      <c r="O35">
        <v>684</v>
      </c>
      <c r="P35">
        <v>19.399999999999999</v>
      </c>
      <c r="Q35">
        <v>7</v>
      </c>
      <c r="R35" s="7" t="str">
        <f>IF(AllDataApr[[#This Row],[Nitrate (PPM)]]&gt;2, "Very high", IF(AllDataApr[[#This Row],[Nitrate (PPM)]]&gt;1, "High", IF(AllDataApr[[#This Row],[Nitrate (PPM)]]&gt;0.5, "Some evidence", IF(AllDataApr[[#This Row],[Nitrate (PPM)]]&gt;0, "No evidence", IF(AllDataApr[[#This Row],[Nitrate (PPM)]]=0, "")))))</f>
        <v>Very high</v>
      </c>
      <c r="S35">
        <v>0.64</v>
      </c>
      <c r="T35" s="7" t="str">
        <f>IF(AllDataApr[[#This Row],[Phosphate (PPM)]]&gt;0.5, "Very high", IF(AllDataApr[[#This Row],[Phosphate (PPM)]]&gt;0.1, "High", IF(AllDataApr[[#This Row],[Phosphate (PPM)]]&gt;0.05, "Some evidence", IF(AllDataApr[[#This Row],[Phosphate (PPM)]]=0, ""))))</f>
        <v>Very high</v>
      </c>
      <c r="U35">
        <v>0</v>
      </c>
    </row>
    <row r="36" spans="1:22" x14ac:dyDescent="0.3">
      <c r="A36" t="s">
        <v>864</v>
      </c>
      <c r="B36" s="2">
        <v>45150</v>
      </c>
      <c r="C36" s="2" t="str" cm="1">
        <f t="array" ref="C3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36">
        <f>YEAR(AllDataApr[[#This Row],[Date]])</f>
        <v>2023</v>
      </c>
      <c r="E36" s="1">
        <v>0.69791666666666663</v>
      </c>
      <c r="F36" s="2" t="str">
        <f>IF(AND(AllDataApr[[#This Row],[Time]]&lt;0.5, AllDataApr[[#This Row],[Time]]&gt;0.17)=TRUE, "Morning", IF(AND(AllDataApr[[#This Row],[Time]]&lt;0.75, AllDataApr[[#This Row],[Time]]&gt;=0.5)=TRUE, "Afternoon", IF(AND(AllDataApr[[#This Row],[Time]]&lt;1, AllDataApr[[#This Row],[Time]]&gt;=0.75)=TRUE, "Evening", "Night")))</f>
        <v>Afternoon</v>
      </c>
      <c r="G36" t="s">
        <v>46</v>
      </c>
      <c r="H36" t="str">
        <f>_xlfn.XLOOKUP(AllDataApr[[#This Row],[Location Name]], Locations[Row Labels],Locations[Group As])</f>
        <v>Swilgate</v>
      </c>
      <c r="I36" t="str">
        <f>_xlfn.XLOOKUP(AllDataApr[[#This Row],[Site Name]],LocationsKey[Site Name],LocationsKey[Region])</f>
        <v>Tewkesbury</v>
      </c>
      <c r="J36" t="str">
        <f>_xlfn.XLOOKUP(AllDataApr[[#This Row],[Site Name]],LocationsKey[Site Name], LocationsKey[Waterway])</f>
        <v>Swilgate</v>
      </c>
      <c r="K36" t="s">
        <v>47</v>
      </c>
      <c r="N36" t="s">
        <v>200</v>
      </c>
      <c r="O36">
        <v>989</v>
      </c>
      <c r="P36">
        <v>19.5</v>
      </c>
      <c r="Q36">
        <v>7</v>
      </c>
      <c r="R36" s="7" t="str">
        <f>IF(AllDataApr[[#This Row],[Nitrate (PPM)]]&gt;2, "Very high", IF(AllDataApr[[#This Row],[Nitrate (PPM)]]&gt;1, "High", IF(AllDataApr[[#This Row],[Nitrate (PPM)]]&gt;0.5, "Some evidence", IF(AllDataApr[[#This Row],[Nitrate (PPM)]]&gt;0, "No evidence", IF(AllDataApr[[#This Row],[Nitrate (PPM)]]=0, "")))))</f>
        <v>Very high</v>
      </c>
      <c r="S36">
        <v>0.8</v>
      </c>
      <c r="T36" s="7" t="str">
        <f>IF(AllDataApr[[#This Row],[Phosphate (PPM)]]&gt;0.5, "Very high", IF(AllDataApr[[#This Row],[Phosphate (PPM)]]&gt;0.1, "High", IF(AllDataApr[[#This Row],[Phosphate (PPM)]]&gt;0.05, "Some evidence", IF(AllDataApr[[#This Row],[Phosphate (PPM)]]=0, ""))))</f>
        <v>Very high</v>
      </c>
      <c r="U36">
        <v>0</v>
      </c>
    </row>
    <row r="37" spans="1:22" x14ac:dyDescent="0.3">
      <c r="A37" t="s">
        <v>862</v>
      </c>
      <c r="B37" s="2">
        <v>45151</v>
      </c>
      <c r="C37" s="2" t="str" cm="1">
        <f t="array" ref="C3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37">
        <f>YEAR(AllDataApr[[#This Row],[Date]])</f>
        <v>2023</v>
      </c>
      <c r="E37" s="1">
        <v>0.46875</v>
      </c>
      <c r="F37" s="2" t="str">
        <f>IF(AND(AllDataApr[[#This Row],[Time]]&lt;0.5, AllDataApr[[#This Row],[Time]]&gt;0.17)=TRUE, "Morning", IF(AND(AllDataApr[[#This Row],[Time]]&lt;0.75, AllDataApr[[#This Row],[Time]]&gt;=0.5)=TRUE, "Afternoon", IF(AND(AllDataApr[[#This Row],[Time]]&lt;1, AllDataApr[[#This Row],[Time]]&gt;=0.75)=TRUE, "Evening", "Night")))</f>
        <v>Morning</v>
      </c>
      <c r="G37" t="s">
        <v>20</v>
      </c>
      <c r="H37" t="str">
        <f>_xlfn.XLOOKUP(AllDataApr[[#This Row],[Location Name]], Locations[Row Labels],Locations[Group As])</f>
        <v>Hampton Wood</v>
      </c>
      <c r="I37" t="str">
        <f>_xlfn.XLOOKUP(AllDataApr[[#This Row],[Site Name]],LocationsKey[Site Name],LocationsKey[Region])</f>
        <v>Stratford</v>
      </c>
      <c r="J37" t="str">
        <f>_xlfn.XLOOKUP(AllDataApr[[#This Row],[Site Name]],LocationsKey[Site Name], LocationsKey[Waterway])</f>
        <v>Avon</v>
      </c>
      <c r="K37" t="s">
        <v>25</v>
      </c>
      <c r="L37">
        <v>52.238149999999997</v>
      </c>
      <c r="M37">
        <v>-1.6245799999999999</v>
      </c>
      <c r="N37" t="s">
        <v>18</v>
      </c>
      <c r="O37">
        <v>888</v>
      </c>
      <c r="P37">
        <v>18.600000000000001</v>
      </c>
      <c r="Q37">
        <v>6</v>
      </c>
      <c r="R37" s="7" t="str">
        <f>IF(AllDataApr[[#This Row],[Nitrate (PPM)]]&gt;2, "Very high", IF(AllDataApr[[#This Row],[Nitrate (PPM)]]&gt;1, "High", IF(AllDataApr[[#This Row],[Nitrate (PPM)]]&gt;0.5, "Some evidence", IF(AllDataApr[[#This Row],[Nitrate (PPM)]]&gt;0, "No evidence", IF(AllDataApr[[#This Row],[Nitrate (PPM)]]=0, "")))))</f>
        <v>Very high</v>
      </c>
      <c r="S37">
        <v>0.57999999999999996</v>
      </c>
      <c r="T37" s="7" t="str">
        <f>IF(AllDataApr[[#This Row],[Phosphate (PPM)]]&gt;0.5, "Very high", IF(AllDataApr[[#This Row],[Phosphate (PPM)]]&gt;0.1, "High", IF(AllDataApr[[#This Row],[Phosphate (PPM)]]&gt;0.05, "Some evidence", IF(AllDataApr[[#This Row],[Phosphate (PPM)]]=0, ""))))</f>
        <v>Very high</v>
      </c>
      <c r="U37">
        <v>0</v>
      </c>
    </row>
    <row r="38" spans="1:22" x14ac:dyDescent="0.3">
      <c r="A38" t="s">
        <v>861</v>
      </c>
      <c r="B38" s="2">
        <v>45151</v>
      </c>
      <c r="C38" s="2" t="str" cm="1">
        <f t="array" ref="C3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38">
        <f>YEAR(AllDataApr[[#This Row],[Date]])</f>
        <v>2023</v>
      </c>
      <c r="E38" s="1">
        <v>0.52083333333333337</v>
      </c>
      <c r="F38" s="2" t="str">
        <f>IF(AND(AllDataApr[[#This Row],[Time]]&lt;0.5, AllDataApr[[#This Row],[Time]]&gt;0.17)=TRUE, "Morning", IF(AND(AllDataApr[[#This Row],[Time]]&lt;0.75, AllDataApr[[#This Row],[Time]]&gt;=0.5)=TRUE, "Afternoon", IF(AND(AllDataApr[[#This Row],[Time]]&lt;1, AllDataApr[[#This Row],[Time]]&gt;=0.75)=TRUE, "Evening", "Night")))</f>
        <v>Afternoon</v>
      </c>
      <c r="G38" t="s">
        <v>20</v>
      </c>
      <c r="H38" t="str">
        <f>_xlfn.XLOOKUP(AllDataApr[[#This Row],[Location Name]], Locations[Row Labels],Locations[Group As])</f>
        <v>Hampton Lucy</v>
      </c>
      <c r="I38" t="str">
        <f>_xlfn.XLOOKUP(AllDataApr[[#This Row],[Site Name]],LocationsKey[Site Name],LocationsKey[Region])</f>
        <v>Stratford</v>
      </c>
      <c r="J38" t="str">
        <f>_xlfn.XLOOKUP(AllDataApr[[#This Row],[Site Name]],LocationsKey[Site Name], LocationsKey[Waterway])</f>
        <v>Avon</v>
      </c>
      <c r="K38" t="s">
        <v>27</v>
      </c>
      <c r="L38">
        <v>52.211680000000001</v>
      </c>
      <c r="M38">
        <v>-1.6244400000000001</v>
      </c>
      <c r="N38" t="s">
        <v>200</v>
      </c>
      <c r="O38">
        <v>868</v>
      </c>
      <c r="P38">
        <v>20</v>
      </c>
      <c r="Q38">
        <v>6</v>
      </c>
      <c r="R38" s="7" t="str">
        <f>IF(AllDataApr[[#This Row],[Nitrate (PPM)]]&gt;2, "Very high", IF(AllDataApr[[#This Row],[Nitrate (PPM)]]&gt;1, "High", IF(AllDataApr[[#This Row],[Nitrate (PPM)]]&gt;0.5, "Some evidence", IF(AllDataApr[[#This Row],[Nitrate (PPM)]]&gt;0, "No evidence", IF(AllDataApr[[#This Row],[Nitrate (PPM)]]=0, "")))))</f>
        <v>Very high</v>
      </c>
      <c r="S38">
        <v>0.61</v>
      </c>
      <c r="T38" s="7" t="str">
        <f>IF(AllDataApr[[#This Row],[Phosphate (PPM)]]&gt;0.5, "Very high", IF(AllDataApr[[#This Row],[Phosphate (PPM)]]&gt;0.1, "High", IF(AllDataApr[[#This Row],[Phosphate (PPM)]]&gt;0.05, "Some evidence", IF(AllDataApr[[#This Row],[Phosphate (PPM)]]=0, ""))))</f>
        <v>Very high</v>
      </c>
      <c r="U38">
        <v>0</v>
      </c>
    </row>
    <row r="39" spans="1:22" x14ac:dyDescent="0.3">
      <c r="A39" t="s">
        <v>863</v>
      </c>
      <c r="B39" s="2">
        <v>45151</v>
      </c>
      <c r="C39" s="2" t="str" cm="1">
        <f t="array" ref="C3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39">
        <f>YEAR(AllDataApr[[#This Row],[Date]])</f>
        <v>2023</v>
      </c>
      <c r="E39" s="1">
        <v>0.63194444444444442</v>
      </c>
      <c r="F39" s="2" t="str">
        <f>IF(AND(AllDataApr[[#This Row],[Time]]&lt;0.5, AllDataApr[[#This Row],[Time]]&gt;0.17)=TRUE, "Morning", IF(AND(AllDataApr[[#This Row],[Time]]&lt;0.75, AllDataApr[[#This Row],[Time]]&gt;=0.5)=TRUE, "Afternoon", IF(AND(AllDataApr[[#This Row],[Time]]&lt;1, AllDataApr[[#This Row],[Time]]&gt;=0.75)=TRUE, "Evening", "Night")))</f>
        <v>Afternoon</v>
      </c>
      <c r="G39" t="s">
        <v>11</v>
      </c>
      <c r="H39" t="str">
        <f>_xlfn.XLOOKUP(AllDataApr[[#This Row],[Location Name]], Locations[Row Labels],Locations[Group As])</f>
        <v>Abbey Mill</v>
      </c>
      <c r="I39" t="str">
        <f>_xlfn.XLOOKUP(AllDataApr[[#This Row],[Site Name]],LocationsKey[Site Name],LocationsKey[Region])</f>
        <v>Tewkesbury</v>
      </c>
      <c r="J39" t="str">
        <f>_xlfn.XLOOKUP(AllDataApr[[#This Row],[Site Name]],LocationsKey[Site Name], LocationsKey[Waterway])</f>
        <v>Avon</v>
      </c>
      <c r="K39" t="s">
        <v>13</v>
      </c>
      <c r="L39">
        <v>51.991483000000002</v>
      </c>
      <c r="M39">
        <v>-2.16275</v>
      </c>
      <c r="N39" t="s">
        <v>200</v>
      </c>
      <c r="O39">
        <v>896</v>
      </c>
      <c r="P39">
        <v>19.7</v>
      </c>
      <c r="Q39">
        <v>8</v>
      </c>
      <c r="R39" s="7" t="str">
        <f>IF(AllDataApr[[#This Row],[Nitrate (PPM)]]&gt;2, "Very high", IF(AllDataApr[[#This Row],[Nitrate (PPM)]]&gt;1, "High", IF(AllDataApr[[#This Row],[Nitrate (PPM)]]&gt;0.5, "Some evidence", IF(AllDataApr[[#This Row],[Nitrate (PPM)]]&gt;0, "No evidence", IF(AllDataApr[[#This Row],[Nitrate (PPM)]]=0, "")))))</f>
        <v>Very high</v>
      </c>
      <c r="S39">
        <v>0.91</v>
      </c>
      <c r="T39" s="7" t="str">
        <f>IF(AllDataApr[[#This Row],[Phosphate (PPM)]]&gt;0.5, "Very high", IF(AllDataApr[[#This Row],[Phosphate (PPM)]]&gt;0.1, "High", IF(AllDataApr[[#This Row],[Phosphate (PPM)]]&gt;0.05, "Some evidence", IF(AllDataApr[[#This Row],[Phosphate (PPM)]]=0, ""))))</f>
        <v>Very high</v>
      </c>
      <c r="U39">
        <v>0</v>
      </c>
    </row>
    <row r="40" spans="1:22" x14ac:dyDescent="0.3">
      <c r="A40" t="s">
        <v>860</v>
      </c>
      <c r="B40" s="2">
        <v>45151</v>
      </c>
      <c r="C40" s="2" t="str" cm="1">
        <f t="array" ref="C4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40">
        <f>YEAR(AllDataApr[[#This Row],[Date]])</f>
        <v>2023</v>
      </c>
      <c r="E40" s="1">
        <v>0.79166666666666663</v>
      </c>
      <c r="F40" s="2" t="str">
        <f>IF(AND(AllDataApr[[#This Row],[Time]]&lt;0.5, AllDataApr[[#This Row],[Time]]&gt;0.17)=TRUE, "Morning", IF(AND(AllDataApr[[#This Row],[Time]]&lt;0.75, AllDataApr[[#This Row],[Time]]&gt;=0.5)=TRUE, "Afternoon", IF(AND(AllDataApr[[#This Row],[Time]]&lt;1, AllDataApr[[#This Row],[Time]]&gt;=0.75)=TRUE, "Evening", "Night")))</f>
        <v>Evening</v>
      </c>
      <c r="G40" t="s">
        <v>35</v>
      </c>
      <c r="H40" t="str">
        <f>_xlfn.XLOOKUP(AllDataApr[[#This Row],[Location Name]], Locations[Row Labels],Locations[Group As])</f>
        <v>Welford Boat Station</v>
      </c>
      <c r="I40" t="str">
        <f>_xlfn.XLOOKUP(AllDataApr[[#This Row],[Site Name]],LocationsKey[Site Name],LocationsKey[Region])</f>
        <v>Stratford</v>
      </c>
      <c r="J40" t="str">
        <f>_xlfn.XLOOKUP(AllDataApr[[#This Row],[Site Name]],LocationsKey[Site Name], LocationsKey[Waterway])</f>
        <v>Avon</v>
      </c>
      <c r="K40" t="s">
        <v>22</v>
      </c>
      <c r="L40">
        <v>52.173999000000002</v>
      </c>
      <c r="M40">
        <v>-1.791587</v>
      </c>
      <c r="N40" t="s">
        <v>18</v>
      </c>
      <c r="O40">
        <v>952</v>
      </c>
      <c r="P40">
        <v>19.3</v>
      </c>
      <c r="Q40">
        <v>9</v>
      </c>
      <c r="R40" s="7" t="str">
        <f>IF(AllDataApr[[#This Row],[Nitrate (PPM)]]&gt;2, "Very high", IF(AllDataApr[[#This Row],[Nitrate (PPM)]]&gt;1, "High", IF(AllDataApr[[#This Row],[Nitrate (PPM)]]&gt;0.5, "Some evidence", IF(AllDataApr[[#This Row],[Nitrate (PPM)]]&gt;0, "No evidence", IF(AllDataApr[[#This Row],[Nitrate (PPM)]]=0, "")))))</f>
        <v>Very high</v>
      </c>
      <c r="S40">
        <v>0.61</v>
      </c>
      <c r="T40" s="7" t="str">
        <f>IF(AllDataApr[[#This Row],[Phosphate (PPM)]]&gt;0.5, "Very high", IF(AllDataApr[[#This Row],[Phosphate (PPM)]]&gt;0.1, "High", IF(AllDataApr[[#This Row],[Phosphate (PPM)]]&gt;0.05, "Some evidence", IF(AllDataApr[[#This Row],[Phosphate (PPM)]]=0, ""))))</f>
        <v>Very high</v>
      </c>
      <c r="U40">
        <v>0</v>
      </c>
      <c r="V40" t="s">
        <v>51</v>
      </c>
    </row>
    <row r="41" spans="1:22" x14ac:dyDescent="0.3">
      <c r="A41" t="s">
        <v>859</v>
      </c>
      <c r="B41" s="2">
        <v>45152</v>
      </c>
      <c r="C41" s="2" t="str" cm="1">
        <f t="array" ref="C4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41">
        <f>YEAR(AllDataApr[[#This Row],[Date]])</f>
        <v>2023</v>
      </c>
      <c r="E41" s="1">
        <v>0.5</v>
      </c>
      <c r="F41" s="2" t="str">
        <f>IF(AND(AllDataApr[[#This Row],[Time]]&lt;0.5, AllDataApr[[#This Row],[Time]]&gt;0.17)=TRUE, "Morning", IF(AND(AllDataApr[[#This Row],[Time]]&lt;0.75, AllDataApr[[#This Row],[Time]]&gt;=0.5)=TRUE, "Afternoon", IF(AND(AllDataApr[[#This Row],[Time]]&lt;1, AllDataApr[[#This Row],[Time]]&gt;=0.75)=TRUE, "Evening", "Night")))</f>
        <v>Afternoon</v>
      </c>
      <c r="G41" t="s">
        <v>20</v>
      </c>
      <c r="H41" t="str">
        <f>_xlfn.XLOOKUP(AllDataApr[[#This Row],[Location Name]], Locations[Row Labels],Locations[Group As])</f>
        <v>Barton</v>
      </c>
      <c r="I41" t="str">
        <f>_xlfn.XLOOKUP(AllDataApr[[#This Row],[Site Name]],LocationsKey[Site Name],LocationsKey[Region])</f>
        <v>Stratford</v>
      </c>
      <c r="J41" t="str">
        <f>_xlfn.XLOOKUP(AllDataApr[[#This Row],[Site Name]],LocationsKey[Site Name], LocationsKey[Waterway])</f>
        <v>Avon</v>
      </c>
      <c r="K41" t="s">
        <v>29</v>
      </c>
      <c r="L41">
        <v>52.161209999999997</v>
      </c>
      <c r="M41">
        <v>-1.8301499999999999</v>
      </c>
      <c r="N41" t="s">
        <v>18</v>
      </c>
      <c r="O41">
        <v>932</v>
      </c>
      <c r="P41">
        <v>18.399999999999999</v>
      </c>
      <c r="Q41">
        <v>6</v>
      </c>
      <c r="R41" s="7" t="str">
        <f>IF(AllDataApr[[#This Row],[Nitrate (PPM)]]&gt;2, "Very high", IF(AllDataApr[[#This Row],[Nitrate (PPM)]]&gt;1, "High", IF(AllDataApr[[#This Row],[Nitrate (PPM)]]&gt;0.5, "Some evidence", IF(AllDataApr[[#This Row],[Nitrate (PPM)]]&gt;0, "No evidence", IF(AllDataApr[[#This Row],[Nitrate (PPM)]]=0, "")))))</f>
        <v>Very high</v>
      </c>
      <c r="S41">
        <v>0.73</v>
      </c>
      <c r="T41" s="7" t="str">
        <f>IF(AllDataApr[[#This Row],[Phosphate (PPM)]]&gt;0.5, "Very high", IF(AllDataApr[[#This Row],[Phosphate (PPM)]]&gt;0.1, "High", IF(AllDataApr[[#This Row],[Phosphate (PPM)]]&gt;0.05, "Some evidence", IF(AllDataApr[[#This Row],[Phosphate (PPM)]]=0, ""))))</f>
        <v>Very high</v>
      </c>
      <c r="U41">
        <v>0</v>
      </c>
    </row>
    <row r="42" spans="1:22" x14ac:dyDescent="0.3">
      <c r="A42" t="s">
        <v>858</v>
      </c>
      <c r="B42" s="2">
        <v>45152</v>
      </c>
      <c r="C42" s="2" t="str" cm="1">
        <f t="array" ref="C4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42">
        <f>YEAR(AllDataApr[[#This Row],[Date]])</f>
        <v>2023</v>
      </c>
      <c r="E42" s="1">
        <v>0.63194444444444442</v>
      </c>
      <c r="F42" s="2" t="str">
        <f>IF(AND(AllDataApr[[#This Row],[Time]]&lt;0.5, AllDataApr[[#This Row],[Time]]&gt;0.17)=TRUE, "Morning", IF(AND(AllDataApr[[#This Row],[Time]]&lt;0.75, AllDataApr[[#This Row],[Time]]&gt;=0.5)=TRUE, "Afternoon", IF(AND(AllDataApr[[#This Row],[Time]]&lt;1, AllDataApr[[#This Row],[Time]]&gt;=0.75)=TRUE, "Evening", "Night")))</f>
        <v>Afternoon</v>
      </c>
      <c r="G42" t="s">
        <v>20</v>
      </c>
      <c r="H42" t="str">
        <f>_xlfn.XLOOKUP(AllDataApr[[#This Row],[Location Name]], Locations[Row Labels],Locations[Group As])</f>
        <v>Weston-on-Avon</v>
      </c>
      <c r="I42" t="str">
        <f>_xlfn.XLOOKUP(AllDataApr[[#This Row],[Site Name]],LocationsKey[Site Name],LocationsKey[Region])</f>
        <v>Stratford</v>
      </c>
      <c r="J42" t="str">
        <f>_xlfn.XLOOKUP(AllDataApr[[#This Row],[Site Name]],LocationsKey[Site Name], LocationsKey[Waterway])</f>
        <v>Avon</v>
      </c>
      <c r="K42" t="s">
        <v>23</v>
      </c>
      <c r="L42">
        <v>52.167430000000003</v>
      </c>
      <c r="M42">
        <v>-1.7744800000000001</v>
      </c>
      <c r="N42" t="s">
        <v>18</v>
      </c>
      <c r="O42">
        <v>948</v>
      </c>
      <c r="P42">
        <v>20</v>
      </c>
      <c r="Q42">
        <v>5</v>
      </c>
      <c r="R42" s="7" t="str">
        <f>IF(AllDataApr[[#This Row],[Nitrate (PPM)]]&gt;2, "Very high", IF(AllDataApr[[#This Row],[Nitrate (PPM)]]&gt;1, "High", IF(AllDataApr[[#This Row],[Nitrate (PPM)]]&gt;0.5, "Some evidence", IF(AllDataApr[[#This Row],[Nitrate (PPM)]]&gt;0, "No evidence", IF(AllDataApr[[#This Row],[Nitrate (PPM)]]=0, "")))))</f>
        <v>Very high</v>
      </c>
      <c r="S42">
        <v>0.84</v>
      </c>
      <c r="T42" s="7" t="str">
        <f>IF(AllDataApr[[#This Row],[Phosphate (PPM)]]&gt;0.5, "Very high", IF(AllDataApr[[#This Row],[Phosphate (PPM)]]&gt;0.1, "High", IF(AllDataApr[[#This Row],[Phosphate (PPM)]]&gt;0.05, "Some evidence", IF(AllDataApr[[#This Row],[Phosphate (PPM)]]=0, ""))))</f>
        <v>Very high</v>
      </c>
      <c r="U42">
        <v>0</v>
      </c>
    </row>
    <row r="43" spans="1:22" x14ac:dyDescent="0.3">
      <c r="A43" t="s">
        <v>856</v>
      </c>
      <c r="B43" s="2">
        <v>45154</v>
      </c>
      <c r="C43" s="2" t="str" cm="1">
        <f t="array" ref="C4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43">
        <f>YEAR(AllDataApr[[#This Row],[Date]])</f>
        <v>2023</v>
      </c>
      <c r="E43" s="1">
        <v>0.81388888888888888</v>
      </c>
      <c r="F43" s="2" t="str">
        <f>IF(AND(AllDataApr[[#This Row],[Time]]&lt;0.5, AllDataApr[[#This Row],[Time]]&gt;0.17)=TRUE, "Morning", IF(AND(AllDataApr[[#This Row],[Time]]&lt;0.75, AllDataApr[[#This Row],[Time]]&gt;=0.5)=TRUE, "Afternoon", IF(AND(AllDataApr[[#This Row],[Time]]&lt;1, AllDataApr[[#This Row],[Time]]&gt;=0.75)=TRUE, "Evening", "Night")))</f>
        <v>Evening</v>
      </c>
      <c r="G43" t="s">
        <v>11</v>
      </c>
      <c r="H43" t="str">
        <f>_xlfn.XLOOKUP(AllDataApr[[#This Row],[Location Name]], Locations[Row Labels],Locations[Group As])</f>
        <v>Abbey Mill</v>
      </c>
      <c r="I43" t="str">
        <f>_xlfn.XLOOKUP(AllDataApr[[#This Row],[Site Name]],LocationsKey[Site Name],LocationsKey[Region])</f>
        <v>Tewkesbury</v>
      </c>
      <c r="J43" t="str">
        <f>_xlfn.XLOOKUP(AllDataApr[[#This Row],[Site Name]],LocationsKey[Site Name], LocationsKey[Waterway])</f>
        <v>Avon</v>
      </c>
      <c r="K43" t="s">
        <v>13</v>
      </c>
      <c r="L43">
        <v>51.991405999999998</v>
      </c>
      <c r="M43">
        <v>-2.162811</v>
      </c>
      <c r="N43" t="s">
        <v>200</v>
      </c>
      <c r="O43">
        <v>931</v>
      </c>
      <c r="P43">
        <v>21.2</v>
      </c>
      <c r="Q43">
        <v>7</v>
      </c>
      <c r="R43" s="7" t="str">
        <f>IF(AllDataApr[[#This Row],[Nitrate (PPM)]]&gt;2, "Very high", IF(AllDataApr[[#This Row],[Nitrate (PPM)]]&gt;1, "High", IF(AllDataApr[[#This Row],[Nitrate (PPM)]]&gt;0.5, "Some evidence", IF(AllDataApr[[#This Row],[Nitrate (PPM)]]&gt;0, "No evidence", IF(AllDataApr[[#This Row],[Nitrate (PPM)]]=0, "")))))</f>
        <v>Very high</v>
      </c>
      <c r="S43">
        <v>1.05</v>
      </c>
      <c r="T43" s="7" t="str">
        <f>IF(AllDataApr[[#This Row],[Phosphate (PPM)]]&gt;0.5, "Very high", IF(AllDataApr[[#This Row],[Phosphate (PPM)]]&gt;0.1, "High", IF(AllDataApr[[#This Row],[Phosphate (PPM)]]&gt;0.05, "Some evidence", IF(AllDataApr[[#This Row],[Phosphate (PPM)]]=0, ""))))</f>
        <v>Very high</v>
      </c>
      <c r="U43">
        <v>0</v>
      </c>
    </row>
    <row r="44" spans="1:22" x14ac:dyDescent="0.3">
      <c r="A44" t="s">
        <v>855</v>
      </c>
      <c r="B44" s="2">
        <v>45155</v>
      </c>
      <c r="C44" s="2" t="str" cm="1">
        <f t="array" ref="C4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44">
        <f>YEAR(AllDataApr[[#This Row],[Date]])</f>
        <v>2023</v>
      </c>
      <c r="E44" s="1">
        <v>0.44097222222222221</v>
      </c>
      <c r="F44" s="2" t="str">
        <f>IF(AND(AllDataApr[[#This Row],[Time]]&lt;0.5, AllDataApr[[#This Row],[Time]]&gt;0.17)=TRUE, "Morning", IF(AND(AllDataApr[[#This Row],[Time]]&lt;0.75, AllDataApr[[#This Row],[Time]]&gt;=0.5)=TRUE, "Afternoon", IF(AND(AllDataApr[[#This Row],[Time]]&lt;1, AllDataApr[[#This Row],[Time]]&gt;=0.75)=TRUE, "Evening", "Night")))</f>
        <v>Morning</v>
      </c>
      <c r="G44" t="s">
        <v>46</v>
      </c>
      <c r="H44" t="str">
        <f>_xlfn.XLOOKUP(AllDataApr[[#This Row],[Location Name]], Locations[Row Labels],Locations[Group As])</f>
        <v>Swilgate</v>
      </c>
      <c r="I44" t="str">
        <f>_xlfn.XLOOKUP(AllDataApr[[#This Row],[Site Name]],LocationsKey[Site Name],LocationsKey[Region])</f>
        <v>Tewkesbury</v>
      </c>
      <c r="J44" t="str">
        <f>_xlfn.XLOOKUP(AllDataApr[[#This Row],[Site Name]],LocationsKey[Site Name], LocationsKey[Waterway])</f>
        <v>Swilgate</v>
      </c>
      <c r="K44" t="s">
        <v>47</v>
      </c>
      <c r="N44" t="s">
        <v>200</v>
      </c>
      <c r="O44">
        <v>890</v>
      </c>
      <c r="P44">
        <v>18.3</v>
      </c>
      <c r="Q44">
        <v>7</v>
      </c>
      <c r="R44" s="7" t="str">
        <f>IF(AllDataApr[[#This Row],[Nitrate (PPM)]]&gt;2, "Very high", IF(AllDataApr[[#This Row],[Nitrate (PPM)]]&gt;1, "High", IF(AllDataApr[[#This Row],[Nitrate (PPM)]]&gt;0.5, "Some evidence", IF(AllDataApr[[#This Row],[Nitrate (PPM)]]&gt;0, "No evidence", IF(AllDataApr[[#This Row],[Nitrate (PPM)]]=0, "")))))</f>
        <v>Very high</v>
      </c>
      <c r="S44">
        <v>0.65</v>
      </c>
      <c r="T44" s="7" t="str">
        <f>IF(AllDataApr[[#This Row],[Phosphate (PPM)]]&gt;0.5, "Very high", IF(AllDataApr[[#This Row],[Phosphate (PPM)]]&gt;0.1, "High", IF(AllDataApr[[#This Row],[Phosphate (PPM)]]&gt;0.05, "Some evidence", IF(AllDataApr[[#This Row],[Phosphate (PPM)]]=0, ""))))</f>
        <v>Very high</v>
      </c>
      <c r="U44">
        <v>0</v>
      </c>
    </row>
    <row r="45" spans="1:22" x14ac:dyDescent="0.3">
      <c r="A45" s="11" t="s">
        <v>848</v>
      </c>
      <c r="B45" s="2">
        <v>45157</v>
      </c>
      <c r="C45" s="2" t="str" cm="1">
        <f t="array" ref="C4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45">
        <f>YEAR(AllDataApr[[#This Row],[Date]])</f>
        <v>2023</v>
      </c>
      <c r="E45" s="1">
        <v>0.60416666666666663</v>
      </c>
      <c r="F45" s="2" t="str">
        <f>IF(AND(AllDataApr[[#This Row],[Time]]&lt;0.5, AllDataApr[[#This Row],[Time]]&gt;0.17)=TRUE, "Morning", IF(AND(AllDataApr[[#This Row],[Time]]&lt;0.75, AllDataApr[[#This Row],[Time]]&gt;=0.5)=TRUE, "Afternoon", IF(AND(AllDataApr[[#This Row],[Time]]&lt;1, AllDataApr[[#This Row],[Time]]&gt;=0.75)=TRUE, "Evening", "Night")))</f>
        <v>Afternoon</v>
      </c>
      <c r="G45" t="s">
        <v>52</v>
      </c>
      <c r="H45" t="str">
        <f>_xlfn.XLOOKUP(AllDataApr[[#This Row],[Location Name]], Locations[Row Labels],Locations[Group As])</f>
        <v>Carrant Bredon Rd</v>
      </c>
      <c r="I45" t="str">
        <f>_xlfn.XLOOKUP(AllDataApr[[#This Row],[Site Name]],LocationsKey[Site Name],LocationsKey[Region])</f>
        <v>Tewkesbury</v>
      </c>
      <c r="J45" t="str">
        <f>_xlfn.XLOOKUP(AllDataApr[[#This Row],[Site Name]],LocationsKey[Site Name], LocationsKey[Waterway])</f>
        <v>Carrant</v>
      </c>
      <c r="K45" t="s">
        <v>53</v>
      </c>
      <c r="N45" t="s">
        <v>200</v>
      </c>
      <c r="O45">
        <v>632</v>
      </c>
      <c r="P45">
        <v>19.399999999999999</v>
      </c>
      <c r="Q45">
        <v>5</v>
      </c>
      <c r="R45" s="7" t="str">
        <f>IF(AllDataApr[[#This Row],[Nitrate (PPM)]]&gt;2, "Very high", IF(AllDataApr[[#This Row],[Nitrate (PPM)]]&gt;1, "High", IF(AllDataApr[[#This Row],[Nitrate (PPM)]]&gt;0.5, "Some evidence", IF(AllDataApr[[#This Row],[Nitrate (PPM)]]&gt;0, "No evidence", IF(AllDataApr[[#This Row],[Nitrate (PPM)]]=0, "")))))</f>
        <v>Very high</v>
      </c>
      <c r="S45">
        <v>0.64</v>
      </c>
      <c r="T45" s="7" t="str">
        <f>IF(AllDataApr[[#This Row],[Phosphate (PPM)]]&gt;0.5, "Very high", IF(AllDataApr[[#This Row],[Phosphate (PPM)]]&gt;0.1, "High", IF(AllDataApr[[#This Row],[Phosphate (PPM)]]&gt;0.05, "Some evidence", IF(AllDataApr[[#This Row],[Phosphate (PPM)]]=0, ""))))</f>
        <v>Very high</v>
      </c>
      <c r="U45">
        <v>0</v>
      </c>
    </row>
    <row r="46" spans="1:22" x14ac:dyDescent="0.3">
      <c r="A46" t="s">
        <v>473</v>
      </c>
      <c r="B46" s="2">
        <v>45157</v>
      </c>
      <c r="C46" s="2" t="str" cm="1">
        <f t="array" ref="C4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46">
        <f>YEAR(AllDataApr[[#This Row],[Date]])</f>
        <v>2023</v>
      </c>
      <c r="E46" s="1">
        <v>0.74861111111111112</v>
      </c>
      <c r="F46" s="2" t="str">
        <f>IF(AND(AllDataApr[[#This Row],[Time]]&lt;0.5, AllDataApr[[#This Row],[Time]]&gt;0.17)=TRUE, "Morning", IF(AND(AllDataApr[[#This Row],[Time]]&lt;0.75, AllDataApr[[#This Row],[Time]]&gt;=0.5)=TRUE, "Afternoon", IF(AND(AllDataApr[[#This Row],[Time]]&lt;1, AllDataApr[[#This Row],[Time]]&gt;=0.75)=TRUE, "Evening", "Night")))</f>
        <v>Afternoon</v>
      </c>
      <c r="G46" t="s">
        <v>278</v>
      </c>
      <c r="H46" t="str">
        <f>_xlfn.XLOOKUP(AllDataApr[[#This Row],[Location Name]], Locations[Row Labels],Locations[Group As])</f>
        <v>Avonbank Drive</v>
      </c>
      <c r="I46" t="str">
        <f>_xlfn.XLOOKUP(AllDataApr[[#This Row],[Site Name]],LocationsKey[Site Name],LocationsKey[Region])</f>
        <v>Stratford</v>
      </c>
      <c r="J46" t="str">
        <f>_xlfn.XLOOKUP(AllDataApr[[#This Row],[Site Name]],LocationsKey[Site Name], LocationsKey[Waterway])</f>
        <v>Avon</v>
      </c>
      <c r="K46" t="s">
        <v>71</v>
      </c>
      <c r="N46" t="s">
        <v>42</v>
      </c>
      <c r="O46">
        <v>919</v>
      </c>
      <c r="P46">
        <v>20.7</v>
      </c>
      <c r="Q46">
        <v>10</v>
      </c>
      <c r="R46" s="7" t="str">
        <f>IF(AllDataApr[[#This Row],[Nitrate (PPM)]]&gt;2, "Very high", IF(AllDataApr[[#This Row],[Nitrate (PPM)]]&gt;1, "High", IF(AllDataApr[[#This Row],[Nitrate (PPM)]]&gt;0.5, "Some evidence", IF(AllDataApr[[#This Row],[Nitrate (PPM)]]&gt;0, "No evidence", IF(AllDataApr[[#This Row],[Nitrate (PPM)]]=0, "")))))</f>
        <v>Very high</v>
      </c>
      <c r="S46">
        <v>0.49</v>
      </c>
      <c r="T46" s="7" t="str">
        <f>IF(AllDataApr[[#This Row],[Phosphate (PPM)]]&gt;0.5, "Very high", IF(AllDataApr[[#This Row],[Phosphate (PPM)]]&gt;0.1, "High", IF(AllDataApr[[#This Row],[Phosphate (PPM)]]&gt;0.05, "Some evidence", IF(AllDataApr[[#This Row],[Phosphate (PPM)]]=0, ""))))</f>
        <v>High</v>
      </c>
      <c r="U46">
        <v>0.57999999999999996</v>
      </c>
    </row>
    <row r="47" spans="1:22" x14ac:dyDescent="0.3">
      <c r="A47" t="s">
        <v>472</v>
      </c>
      <c r="B47" s="2">
        <v>45157</v>
      </c>
      <c r="C47" s="2" t="str" cm="1">
        <f t="array" ref="C4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47">
        <f>YEAR(AllDataApr[[#This Row],[Date]])</f>
        <v>2023</v>
      </c>
      <c r="E47" s="1">
        <v>0.75</v>
      </c>
      <c r="F47" s="2" t="str">
        <f>IF(AND(AllDataApr[[#This Row],[Time]]&lt;0.5, AllDataApr[[#This Row],[Time]]&gt;0.17)=TRUE, "Morning", IF(AND(AllDataApr[[#This Row],[Time]]&lt;0.75, AllDataApr[[#This Row],[Time]]&gt;=0.5)=TRUE, "Afternoon", IF(AND(AllDataApr[[#This Row],[Time]]&lt;1, AllDataApr[[#This Row],[Time]]&gt;=0.75)=TRUE, "Evening", "Night")))</f>
        <v>Evening</v>
      </c>
      <c r="G47" t="s">
        <v>278</v>
      </c>
      <c r="H47" t="str">
        <f>_xlfn.XLOOKUP(AllDataApr[[#This Row],[Location Name]], Locations[Row Labels],Locations[Group As])</f>
        <v>Pitch 16</v>
      </c>
      <c r="I47" t="str">
        <f>_xlfn.XLOOKUP(AllDataApr[[#This Row],[Site Name]],LocationsKey[Site Name],LocationsKey[Region])</f>
        <v>Stratford</v>
      </c>
      <c r="J47" t="str">
        <f>_xlfn.XLOOKUP(AllDataApr[[#This Row],[Site Name]],LocationsKey[Site Name], LocationsKey[Waterway])</f>
        <v>Avon</v>
      </c>
      <c r="K47" t="s">
        <v>39</v>
      </c>
      <c r="N47" t="s">
        <v>18</v>
      </c>
      <c r="O47">
        <v>952</v>
      </c>
      <c r="P47">
        <v>19.7</v>
      </c>
      <c r="Q47">
        <v>10</v>
      </c>
      <c r="R47" s="7" t="str">
        <f>IF(AllDataApr[[#This Row],[Nitrate (PPM)]]&gt;2, "Very high", IF(AllDataApr[[#This Row],[Nitrate (PPM)]]&gt;1, "High", IF(AllDataApr[[#This Row],[Nitrate (PPM)]]&gt;0.5, "Some evidence", IF(AllDataApr[[#This Row],[Nitrate (PPM)]]&gt;0, "No evidence", IF(AllDataApr[[#This Row],[Nitrate (PPM)]]=0, "")))))</f>
        <v>Very high</v>
      </c>
      <c r="S47">
        <v>0.55000000000000004</v>
      </c>
      <c r="T47" s="7" t="str">
        <f>IF(AllDataApr[[#This Row],[Phosphate (PPM)]]&gt;0.5, "Very high", IF(AllDataApr[[#This Row],[Phosphate (PPM)]]&gt;0.1, "High", IF(AllDataApr[[#This Row],[Phosphate (PPM)]]&gt;0.05, "Some evidence", IF(AllDataApr[[#This Row],[Phosphate (PPM)]]=0, ""))))</f>
        <v>Very high</v>
      </c>
      <c r="U47">
        <v>0.57999999999999996</v>
      </c>
    </row>
    <row r="48" spans="1:22" x14ac:dyDescent="0.3">
      <c r="A48" t="s">
        <v>853</v>
      </c>
      <c r="B48" s="2">
        <v>45158</v>
      </c>
      <c r="C48" s="2" t="str" cm="1">
        <f t="array" ref="C4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48">
        <f>YEAR(AllDataApr[[#This Row],[Date]])</f>
        <v>2023</v>
      </c>
      <c r="E48" s="1">
        <v>0.47916666666666669</v>
      </c>
      <c r="F48" s="2" t="str">
        <f>IF(AND(AllDataApr[[#This Row],[Time]]&lt;0.5, AllDataApr[[#This Row],[Time]]&gt;0.17)=TRUE, "Morning", IF(AND(AllDataApr[[#This Row],[Time]]&lt;0.75, AllDataApr[[#This Row],[Time]]&gt;=0.5)=TRUE, "Afternoon", IF(AND(AllDataApr[[#This Row],[Time]]&lt;1, AllDataApr[[#This Row],[Time]]&gt;=0.75)=TRUE, "Evening", "Night")))</f>
        <v>Morning</v>
      </c>
      <c r="G48" t="s">
        <v>20</v>
      </c>
      <c r="H48" t="str">
        <f>_xlfn.XLOOKUP(AllDataApr[[#This Row],[Location Name]], Locations[Row Labels],Locations[Group As])</f>
        <v>Hampton Wood</v>
      </c>
      <c r="I48" t="str">
        <f>_xlfn.XLOOKUP(AllDataApr[[#This Row],[Site Name]],LocationsKey[Site Name],LocationsKey[Region])</f>
        <v>Stratford</v>
      </c>
      <c r="J48" t="str">
        <f>_xlfn.XLOOKUP(AllDataApr[[#This Row],[Site Name]],LocationsKey[Site Name], LocationsKey[Waterway])</f>
        <v>Avon</v>
      </c>
      <c r="K48" t="s">
        <v>25</v>
      </c>
      <c r="L48">
        <v>52.238149999999997</v>
      </c>
      <c r="M48">
        <v>-1.6245799999999999</v>
      </c>
      <c r="N48" t="s">
        <v>18</v>
      </c>
      <c r="O48">
        <v>930</v>
      </c>
      <c r="P48">
        <v>21.4</v>
      </c>
      <c r="Q48">
        <v>9</v>
      </c>
      <c r="R48" s="7" t="str">
        <f>IF(AllDataApr[[#This Row],[Nitrate (PPM)]]&gt;2, "Very high", IF(AllDataApr[[#This Row],[Nitrate (PPM)]]&gt;1, "High", IF(AllDataApr[[#This Row],[Nitrate (PPM)]]&gt;0.5, "Some evidence", IF(AllDataApr[[#This Row],[Nitrate (PPM)]]&gt;0, "No evidence", IF(AllDataApr[[#This Row],[Nitrate (PPM)]]=0, "")))))</f>
        <v>Very high</v>
      </c>
      <c r="S48">
        <v>0.49</v>
      </c>
      <c r="T48" s="7" t="str">
        <f>IF(AllDataApr[[#This Row],[Phosphate (PPM)]]&gt;0.5, "Very high", IF(AllDataApr[[#This Row],[Phosphate (PPM)]]&gt;0.1, "High", IF(AllDataApr[[#This Row],[Phosphate (PPM)]]&gt;0.05, "Some evidence", IF(AllDataApr[[#This Row],[Phosphate (PPM)]]=0, ""))))</f>
        <v>High</v>
      </c>
      <c r="U48">
        <v>0</v>
      </c>
    </row>
    <row r="49" spans="1:22" x14ac:dyDescent="0.3">
      <c r="A49" t="s">
        <v>852</v>
      </c>
      <c r="B49" s="2">
        <v>45158</v>
      </c>
      <c r="C49" s="2" t="str" cm="1">
        <f t="array" ref="C4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49">
        <f>YEAR(AllDataApr[[#This Row],[Date]])</f>
        <v>2023</v>
      </c>
      <c r="E49" s="1">
        <v>0.54166666666666663</v>
      </c>
      <c r="F49" s="2" t="str">
        <f>IF(AND(AllDataApr[[#This Row],[Time]]&lt;0.5, AllDataApr[[#This Row],[Time]]&gt;0.17)=TRUE, "Morning", IF(AND(AllDataApr[[#This Row],[Time]]&lt;0.75, AllDataApr[[#This Row],[Time]]&gt;=0.5)=TRUE, "Afternoon", IF(AND(AllDataApr[[#This Row],[Time]]&lt;1, AllDataApr[[#This Row],[Time]]&gt;=0.75)=TRUE, "Evening", "Night")))</f>
        <v>Afternoon</v>
      </c>
      <c r="G49" t="s">
        <v>20</v>
      </c>
      <c r="H49" t="str">
        <f>_xlfn.XLOOKUP(AllDataApr[[#This Row],[Location Name]], Locations[Row Labels],Locations[Group As])</f>
        <v>Hampton Lucy</v>
      </c>
      <c r="I49" t="str">
        <f>_xlfn.XLOOKUP(AllDataApr[[#This Row],[Site Name]],LocationsKey[Site Name],LocationsKey[Region])</f>
        <v>Stratford</v>
      </c>
      <c r="J49" t="str">
        <f>_xlfn.XLOOKUP(AllDataApr[[#This Row],[Site Name]],LocationsKey[Site Name], LocationsKey[Waterway])</f>
        <v>Avon</v>
      </c>
      <c r="K49" t="s">
        <v>27</v>
      </c>
      <c r="L49">
        <v>52.211680000000001</v>
      </c>
      <c r="M49">
        <v>-1.6244400000000001</v>
      </c>
      <c r="N49" t="s">
        <v>200</v>
      </c>
      <c r="O49">
        <v>892</v>
      </c>
      <c r="P49">
        <v>22.1</v>
      </c>
      <c r="Q49">
        <v>10</v>
      </c>
      <c r="R49" s="7" t="str">
        <f>IF(AllDataApr[[#This Row],[Nitrate (PPM)]]&gt;2, "Very high", IF(AllDataApr[[#This Row],[Nitrate (PPM)]]&gt;1, "High", IF(AllDataApr[[#This Row],[Nitrate (PPM)]]&gt;0.5, "Some evidence", IF(AllDataApr[[#This Row],[Nitrate (PPM)]]&gt;0, "No evidence", IF(AllDataApr[[#This Row],[Nitrate (PPM)]]=0, "")))))</f>
        <v>Very high</v>
      </c>
      <c r="S49">
        <v>0.56999999999999995</v>
      </c>
      <c r="T49" s="7" t="str">
        <f>IF(AllDataApr[[#This Row],[Phosphate (PPM)]]&gt;0.5, "Very high", IF(AllDataApr[[#This Row],[Phosphate (PPM)]]&gt;0.1, "High", IF(AllDataApr[[#This Row],[Phosphate (PPM)]]&gt;0.05, "Some evidence", IF(AllDataApr[[#This Row],[Phosphate (PPM)]]=0, ""))))</f>
        <v>Very high</v>
      </c>
      <c r="U49">
        <v>0</v>
      </c>
    </row>
    <row r="50" spans="1:22" x14ac:dyDescent="0.3">
      <c r="A50" t="s">
        <v>851</v>
      </c>
      <c r="B50" s="2">
        <v>45158</v>
      </c>
      <c r="C50" s="2" t="str" cm="1">
        <f t="array" ref="C5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50">
        <f>YEAR(AllDataApr[[#This Row],[Date]])</f>
        <v>2023</v>
      </c>
      <c r="E50" s="1">
        <v>0.70833333333333337</v>
      </c>
      <c r="F50" s="2" t="str">
        <f>IF(AND(AllDataApr[[#This Row],[Time]]&lt;0.5, AllDataApr[[#This Row],[Time]]&gt;0.17)=TRUE, "Morning", IF(AND(AllDataApr[[#This Row],[Time]]&lt;0.75, AllDataApr[[#This Row],[Time]]&gt;=0.5)=TRUE, "Afternoon", IF(AND(AllDataApr[[#This Row],[Time]]&lt;1, AllDataApr[[#This Row],[Time]]&gt;=0.75)=TRUE, "Evening", "Night")))</f>
        <v>Afternoon</v>
      </c>
      <c r="G50" t="s">
        <v>35</v>
      </c>
      <c r="H50" t="str">
        <f>_xlfn.XLOOKUP(AllDataApr[[#This Row],[Location Name]], Locations[Row Labels],Locations[Group As])</f>
        <v>Welford Boat Station</v>
      </c>
      <c r="I50" t="str">
        <f>_xlfn.XLOOKUP(AllDataApr[[#This Row],[Site Name]],LocationsKey[Site Name],LocationsKey[Region])</f>
        <v>Stratford</v>
      </c>
      <c r="J50" t="str">
        <f>_xlfn.XLOOKUP(AllDataApr[[#This Row],[Site Name]],LocationsKey[Site Name], LocationsKey[Waterway])</f>
        <v>Avon</v>
      </c>
      <c r="K50" t="s">
        <v>22</v>
      </c>
      <c r="L50">
        <v>52.175240000000002</v>
      </c>
      <c r="M50">
        <v>-1.7918700000000001</v>
      </c>
      <c r="N50" t="s">
        <v>18</v>
      </c>
      <c r="O50">
        <v>896</v>
      </c>
      <c r="P50">
        <v>21.3</v>
      </c>
      <c r="Q50">
        <v>4</v>
      </c>
      <c r="R50" s="7" t="str">
        <f>IF(AllDataApr[[#This Row],[Nitrate (PPM)]]&gt;2, "Very high", IF(AllDataApr[[#This Row],[Nitrate (PPM)]]&gt;1, "High", IF(AllDataApr[[#This Row],[Nitrate (PPM)]]&gt;0.5, "Some evidence", IF(AllDataApr[[#This Row],[Nitrate (PPM)]]&gt;0, "No evidence", IF(AllDataApr[[#This Row],[Nitrate (PPM)]]=0, "")))))</f>
        <v>Very high</v>
      </c>
      <c r="S50">
        <v>0.51</v>
      </c>
      <c r="T50" s="7" t="str">
        <f>IF(AllDataApr[[#This Row],[Phosphate (PPM)]]&gt;0.5, "Very high", IF(AllDataApr[[#This Row],[Phosphate (PPM)]]&gt;0.1, "High", IF(AllDataApr[[#This Row],[Phosphate (PPM)]]&gt;0.05, "Some evidence", IF(AllDataApr[[#This Row],[Phosphate (PPM)]]=0, ""))))</f>
        <v>Very high</v>
      </c>
      <c r="U50">
        <v>0</v>
      </c>
      <c r="V50" t="s">
        <v>51</v>
      </c>
    </row>
    <row r="51" spans="1:22" x14ac:dyDescent="0.3">
      <c r="A51" t="s">
        <v>850</v>
      </c>
      <c r="B51" s="2">
        <v>45159</v>
      </c>
      <c r="C51" s="2" t="str" cm="1">
        <f t="array" ref="C5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51">
        <f>YEAR(AllDataApr[[#This Row],[Date]])</f>
        <v>2023</v>
      </c>
      <c r="E51" s="1">
        <v>0.67708333333333337</v>
      </c>
      <c r="F51" s="2" t="str">
        <f>IF(AND(AllDataApr[[#This Row],[Time]]&lt;0.5, AllDataApr[[#This Row],[Time]]&gt;0.17)=TRUE, "Morning", IF(AND(AllDataApr[[#This Row],[Time]]&lt;0.75, AllDataApr[[#This Row],[Time]]&gt;=0.5)=TRUE, "Afternoon", IF(AND(AllDataApr[[#This Row],[Time]]&lt;1, AllDataApr[[#This Row],[Time]]&gt;=0.75)=TRUE, "Evening", "Night")))</f>
        <v>Afternoon</v>
      </c>
      <c r="G51" t="s">
        <v>20</v>
      </c>
      <c r="H51" t="str">
        <f>_xlfn.XLOOKUP(AllDataApr[[#This Row],[Location Name]], Locations[Row Labels],Locations[Group As])</f>
        <v>Weston-on-Avon</v>
      </c>
      <c r="I51" t="str">
        <f>_xlfn.XLOOKUP(AllDataApr[[#This Row],[Site Name]],LocationsKey[Site Name],LocationsKey[Region])</f>
        <v>Stratford</v>
      </c>
      <c r="J51" t="str">
        <f>_xlfn.XLOOKUP(AllDataApr[[#This Row],[Site Name]],LocationsKey[Site Name], LocationsKey[Waterway])</f>
        <v>Avon</v>
      </c>
      <c r="K51" t="s">
        <v>23</v>
      </c>
      <c r="L51">
        <v>52.167430000000003</v>
      </c>
      <c r="M51">
        <v>-1.7744800000000001</v>
      </c>
      <c r="N51" t="s">
        <v>18</v>
      </c>
      <c r="O51">
        <v>954</v>
      </c>
      <c r="P51">
        <v>21.3</v>
      </c>
      <c r="Q51">
        <v>6</v>
      </c>
      <c r="R51" s="7" t="str">
        <f>IF(AllDataApr[[#This Row],[Nitrate (PPM)]]&gt;2, "Very high", IF(AllDataApr[[#This Row],[Nitrate (PPM)]]&gt;1, "High", IF(AllDataApr[[#This Row],[Nitrate (PPM)]]&gt;0.5, "Some evidence", IF(AllDataApr[[#This Row],[Nitrate (PPM)]]&gt;0, "No evidence", IF(AllDataApr[[#This Row],[Nitrate (PPM)]]=0, "")))))</f>
        <v>Very high</v>
      </c>
      <c r="S51">
        <v>0.68</v>
      </c>
      <c r="T51" s="7" t="str">
        <f>IF(AllDataApr[[#This Row],[Phosphate (PPM)]]&gt;0.5, "Very high", IF(AllDataApr[[#This Row],[Phosphate (PPM)]]&gt;0.1, "High", IF(AllDataApr[[#This Row],[Phosphate (PPM)]]&gt;0.05, "Some evidence", IF(AllDataApr[[#This Row],[Phosphate (PPM)]]=0, ""))))</f>
        <v>Very high</v>
      </c>
      <c r="U51">
        <v>0</v>
      </c>
    </row>
    <row r="52" spans="1:22" x14ac:dyDescent="0.3">
      <c r="A52" t="s">
        <v>854</v>
      </c>
      <c r="B52" s="2">
        <v>45160</v>
      </c>
      <c r="C52" s="2" t="str" cm="1">
        <f t="array" ref="C5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52">
        <f>YEAR(AllDataApr[[#This Row],[Date]])</f>
        <v>2023</v>
      </c>
      <c r="E52" s="1">
        <v>0.39583333333333331</v>
      </c>
      <c r="F52" s="2" t="str">
        <f>IF(AND(AllDataApr[[#This Row],[Time]]&lt;0.5, AllDataApr[[#This Row],[Time]]&gt;0.17)=TRUE, "Morning", IF(AND(AllDataApr[[#This Row],[Time]]&lt;0.75, AllDataApr[[#This Row],[Time]]&gt;=0.5)=TRUE, "Afternoon", IF(AND(AllDataApr[[#This Row],[Time]]&lt;1, AllDataApr[[#This Row],[Time]]&gt;=0.75)=TRUE, "Evening", "Night")))</f>
        <v>Morning</v>
      </c>
      <c r="G52" t="s">
        <v>11</v>
      </c>
      <c r="H52" t="str">
        <f>_xlfn.XLOOKUP(AllDataApr[[#This Row],[Location Name]], Locations[Row Labels],Locations[Group As])</f>
        <v>Abbey Mill</v>
      </c>
      <c r="I52" t="str">
        <f>_xlfn.XLOOKUP(AllDataApr[[#This Row],[Site Name]],LocationsKey[Site Name],LocationsKey[Region])</f>
        <v>Tewkesbury</v>
      </c>
      <c r="J52" t="str">
        <f>_xlfn.XLOOKUP(AllDataApr[[#This Row],[Site Name]],LocationsKey[Site Name], LocationsKey[Waterway])</f>
        <v>Avon</v>
      </c>
      <c r="K52" t="s">
        <v>13</v>
      </c>
      <c r="L52">
        <v>51.991433000000001</v>
      </c>
      <c r="M52">
        <v>-2.1627329999999998</v>
      </c>
      <c r="N52" t="s">
        <v>200</v>
      </c>
      <c r="O52">
        <v>985</v>
      </c>
      <c r="P52">
        <v>20.8</v>
      </c>
      <c r="Q52">
        <v>10</v>
      </c>
      <c r="R52" s="7" t="str">
        <f>IF(AllDataApr[[#This Row],[Nitrate (PPM)]]&gt;2, "Very high", IF(AllDataApr[[#This Row],[Nitrate (PPM)]]&gt;1, "High", IF(AllDataApr[[#This Row],[Nitrate (PPM)]]&gt;0.5, "Some evidence", IF(AllDataApr[[#This Row],[Nitrate (PPM)]]&gt;0, "No evidence", IF(AllDataApr[[#This Row],[Nitrate (PPM)]]=0, "")))))</f>
        <v>Very high</v>
      </c>
      <c r="S52">
        <v>0.91</v>
      </c>
      <c r="T52" s="7" t="str">
        <f>IF(AllDataApr[[#This Row],[Phosphate (PPM)]]&gt;0.5, "Very high", IF(AllDataApr[[#This Row],[Phosphate (PPM)]]&gt;0.1, "High", IF(AllDataApr[[#This Row],[Phosphate (PPM)]]&gt;0.05, "Some evidence", IF(AllDataApr[[#This Row],[Phosphate (PPM)]]=0, ""))))</f>
        <v>Very high</v>
      </c>
      <c r="U52">
        <v>0</v>
      </c>
    </row>
    <row r="53" spans="1:22" x14ac:dyDescent="0.3">
      <c r="A53" t="s">
        <v>849</v>
      </c>
      <c r="B53" s="2">
        <v>45162</v>
      </c>
      <c r="C53" s="2" t="str" cm="1">
        <f t="array" ref="C5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53">
        <f>YEAR(AllDataApr[[#This Row],[Date]])</f>
        <v>2023</v>
      </c>
      <c r="E53" s="1">
        <v>0.4375</v>
      </c>
      <c r="F53" s="2" t="str">
        <f>IF(AND(AllDataApr[[#This Row],[Time]]&lt;0.5, AllDataApr[[#This Row],[Time]]&gt;0.17)=TRUE, "Morning", IF(AND(AllDataApr[[#This Row],[Time]]&lt;0.75, AllDataApr[[#This Row],[Time]]&gt;=0.5)=TRUE, "Afternoon", IF(AND(AllDataApr[[#This Row],[Time]]&lt;1, AllDataApr[[#This Row],[Time]]&gt;=0.75)=TRUE, "Evening", "Night")))</f>
        <v>Morning</v>
      </c>
      <c r="G53" t="s">
        <v>46</v>
      </c>
      <c r="H53" t="str">
        <f>_xlfn.XLOOKUP(AllDataApr[[#This Row],[Location Name]], Locations[Row Labels],Locations[Group As])</f>
        <v>Swilgate</v>
      </c>
      <c r="I53" t="str">
        <f>_xlfn.XLOOKUP(AllDataApr[[#This Row],[Site Name]],LocationsKey[Site Name],LocationsKey[Region])</f>
        <v>Tewkesbury</v>
      </c>
      <c r="J53" t="str">
        <f>_xlfn.XLOOKUP(AllDataApr[[#This Row],[Site Name]],LocationsKey[Site Name], LocationsKey[Waterway])</f>
        <v>Swilgate</v>
      </c>
      <c r="K53" t="s">
        <v>47</v>
      </c>
      <c r="N53" t="s">
        <v>200</v>
      </c>
      <c r="O53">
        <v>984</v>
      </c>
      <c r="P53">
        <v>18.5</v>
      </c>
      <c r="Q53">
        <v>9</v>
      </c>
      <c r="R53" s="7" t="str">
        <f>IF(AllDataApr[[#This Row],[Nitrate (PPM)]]&gt;2, "Very high", IF(AllDataApr[[#This Row],[Nitrate (PPM)]]&gt;1, "High", IF(AllDataApr[[#This Row],[Nitrate (PPM)]]&gt;0.5, "Some evidence", IF(AllDataApr[[#This Row],[Nitrate (PPM)]]&gt;0, "No evidence", IF(AllDataApr[[#This Row],[Nitrate (PPM)]]=0, "")))))</f>
        <v>Very high</v>
      </c>
      <c r="S53">
        <v>0.91</v>
      </c>
      <c r="T53" s="7" t="str">
        <f>IF(AllDataApr[[#This Row],[Phosphate (PPM)]]&gt;0.5, "Very high", IF(AllDataApr[[#This Row],[Phosphate (PPM)]]&gt;0.1, "High", IF(AllDataApr[[#This Row],[Phosphate (PPM)]]&gt;0.05, "Some evidence", IF(AllDataApr[[#This Row],[Phosphate (PPM)]]=0, ""))))</f>
        <v>Very high</v>
      </c>
      <c r="U53">
        <v>0</v>
      </c>
    </row>
    <row r="54" spans="1:22" x14ac:dyDescent="0.3">
      <c r="A54" t="s">
        <v>847</v>
      </c>
      <c r="B54" s="2">
        <v>45164</v>
      </c>
      <c r="C54" s="2" t="str" cm="1">
        <f t="array" ref="C5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54">
        <f>YEAR(AllDataApr[[#This Row],[Date]])</f>
        <v>2023</v>
      </c>
      <c r="E54" s="1">
        <v>0.4513888888888889</v>
      </c>
      <c r="F54" s="2" t="str">
        <f>IF(AND(AllDataApr[[#This Row],[Time]]&lt;0.5, AllDataApr[[#This Row],[Time]]&gt;0.17)=TRUE, "Morning", IF(AND(AllDataApr[[#This Row],[Time]]&lt;0.75, AllDataApr[[#This Row],[Time]]&gt;=0.5)=TRUE, "Afternoon", IF(AND(AllDataApr[[#This Row],[Time]]&lt;1, AllDataApr[[#This Row],[Time]]&gt;=0.75)=TRUE, "Evening", "Night")))</f>
        <v>Morning</v>
      </c>
      <c r="G54" t="s">
        <v>38</v>
      </c>
      <c r="H54" t="str">
        <f>_xlfn.XLOOKUP(AllDataApr[[#This Row],[Location Name]], Locations[Row Labels],Locations[Group As])</f>
        <v>Pitch 16</v>
      </c>
      <c r="I54" t="str">
        <f>_xlfn.XLOOKUP(AllDataApr[[#This Row],[Site Name]],LocationsKey[Site Name],LocationsKey[Region])</f>
        <v>Stratford</v>
      </c>
      <c r="J54" t="str">
        <f>_xlfn.XLOOKUP(AllDataApr[[#This Row],[Site Name]],LocationsKey[Site Name], LocationsKey[Waterway])</f>
        <v>Avon</v>
      </c>
      <c r="K54" t="s">
        <v>39</v>
      </c>
      <c r="L54">
        <v>52.172899999999998</v>
      </c>
      <c r="M54">
        <v>-1.7453149999999999</v>
      </c>
      <c r="N54" t="s">
        <v>18</v>
      </c>
      <c r="O54">
        <v>981</v>
      </c>
      <c r="P54">
        <v>19.100000000000001</v>
      </c>
      <c r="Q54">
        <v>10</v>
      </c>
      <c r="R54" s="7" t="str">
        <f>IF(AllDataApr[[#This Row],[Nitrate (PPM)]]&gt;2, "Very high", IF(AllDataApr[[#This Row],[Nitrate (PPM)]]&gt;1, "High", IF(AllDataApr[[#This Row],[Nitrate (PPM)]]&gt;0.5, "Some evidence", IF(AllDataApr[[#This Row],[Nitrate (PPM)]]&gt;0, "No evidence", IF(AllDataApr[[#This Row],[Nitrate (PPM)]]=0, "")))))</f>
        <v>Very high</v>
      </c>
      <c r="S54">
        <v>0.88</v>
      </c>
      <c r="T54" s="7" t="str">
        <f>IF(AllDataApr[[#This Row],[Phosphate (PPM)]]&gt;0.5, "Very high", IF(AllDataApr[[#This Row],[Phosphate (PPM)]]&gt;0.1, "High", IF(AllDataApr[[#This Row],[Phosphate (PPM)]]&gt;0.05, "Some evidence", IF(AllDataApr[[#This Row],[Phosphate (PPM)]]=0, ""))))</f>
        <v>Very high</v>
      </c>
      <c r="U54">
        <v>0.5</v>
      </c>
      <c r="V54" t="s">
        <v>40</v>
      </c>
    </row>
    <row r="55" spans="1:22" x14ac:dyDescent="0.3">
      <c r="A55" t="s">
        <v>846</v>
      </c>
      <c r="B55" s="2">
        <v>45164</v>
      </c>
      <c r="C55" s="2" t="str" cm="1">
        <f t="array" ref="C5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55">
        <f>YEAR(AllDataApr[[#This Row],[Date]])</f>
        <v>2023</v>
      </c>
      <c r="E55" s="1">
        <v>0.46527777777777779</v>
      </c>
      <c r="F55" s="2" t="str">
        <f>IF(AND(AllDataApr[[#This Row],[Time]]&lt;0.5, AllDataApr[[#This Row],[Time]]&gt;0.17)=TRUE, "Morning", IF(AND(AllDataApr[[#This Row],[Time]]&lt;0.75, AllDataApr[[#This Row],[Time]]&gt;=0.5)=TRUE, "Afternoon", IF(AND(AllDataApr[[#This Row],[Time]]&lt;1, AllDataApr[[#This Row],[Time]]&gt;=0.75)=TRUE, "Evening", "Night")))</f>
        <v>Morning</v>
      </c>
      <c r="G55" t="s">
        <v>38</v>
      </c>
      <c r="H55" t="str">
        <f>_xlfn.XLOOKUP(AllDataApr[[#This Row],[Location Name]], Locations[Row Labels],Locations[Group As])</f>
        <v>Avonbank Drive</v>
      </c>
      <c r="I55" t="str">
        <f>_xlfn.XLOOKUP(AllDataApr[[#This Row],[Site Name]],LocationsKey[Site Name],LocationsKey[Region])</f>
        <v>Stratford</v>
      </c>
      <c r="J55" t="str">
        <f>_xlfn.XLOOKUP(AllDataApr[[#This Row],[Site Name]],LocationsKey[Site Name], LocationsKey[Waterway])</f>
        <v>Avon</v>
      </c>
      <c r="K55" t="s">
        <v>41</v>
      </c>
      <c r="L55">
        <v>52.177103000000002</v>
      </c>
      <c r="M55">
        <v>-1.7356130000000001</v>
      </c>
      <c r="N55" t="s">
        <v>42</v>
      </c>
      <c r="O55">
        <v>1000</v>
      </c>
      <c r="P55">
        <v>20.5</v>
      </c>
      <c r="Q55">
        <v>10</v>
      </c>
      <c r="R55" s="7" t="str">
        <f>IF(AllDataApr[[#This Row],[Nitrate (PPM)]]&gt;2, "Very high", IF(AllDataApr[[#This Row],[Nitrate (PPM)]]&gt;1, "High", IF(AllDataApr[[#This Row],[Nitrate (PPM)]]&gt;0.5, "Some evidence", IF(AllDataApr[[#This Row],[Nitrate (PPM)]]&gt;0, "No evidence", IF(AllDataApr[[#This Row],[Nitrate (PPM)]]=0, "")))))</f>
        <v>Very high</v>
      </c>
      <c r="S55">
        <v>0.56000000000000005</v>
      </c>
      <c r="T55" s="7" t="str">
        <f>IF(AllDataApr[[#This Row],[Phosphate (PPM)]]&gt;0.5, "Very high", IF(AllDataApr[[#This Row],[Phosphate (PPM)]]&gt;0.1, "High", IF(AllDataApr[[#This Row],[Phosphate (PPM)]]&gt;0.05, "Some evidence", IF(AllDataApr[[#This Row],[Phosphate (PPM)]]=0, ""))))</f>
        <v>Very high</v>
      </c>
      <c r="U55">
        <v>0.5</v>
      </c>
      <c r="V55" t="s">
        <v>40</v>
      </c>
    </row>
    <row r="56" spans="1:22" x14ac:dyDescent="0.3">
      <c r="A56" t="s">
        <v>845</v>
      </c>
      <c r="B56" s="2">
        <v>45165</v>
      </c>
      <c r="C56" s="2" t="str" cm="1">
        <f t="array" ref="C5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56">
        <f>YEAR(AllDataApr[[#This Row],[Date]])</f>
        <v>2023</v>
      </c>
      <c r="E56" s="1">
        <v>0.39652777777777776</v>
      </c>
      <c r="F56" s="2" t="str">
        <f>IF(AND(AllDataApr[[#This Row],[Time]]&lt;0.5, AllDataApr[[#This Row],[Time]]&gt;0.17)=TRUE, "Morning", IF(AND(AllDataApr[[#This Row],[Time]]&lt;0.75, AllDataApr[[#This Row],[Time]]&gt;=0.5)=TRUE, "Afternoon", IF(AND(AllDataApr[[#This Row],[Time]]&lt;1, AllDataApr[[#This Row],[Time]]&gt;=0.75)=TRUE, "Evening", "Night")))</f>
        <v>Morning</v>
      </c>
      <c r="G56" t="s">
        <v>11</v>
      </c>
      <c r="H56" t="str">
        <f>_xlfn.XLOOKUP(AllDataApr[[#This Row],[Location Name]], Locations[Row Labels],Locations[Group As])</f>
        <v>Abbey Mill</v>
      </c>
      <c r="I56" t="str">
        <f>_xlfn.XLOOKUP(AllDataApr[[#This Row],[Site Name]],LocationsKey[Site Name],LocationsKey[Region])</f>
        <v>Tewkesbury</v>
      </c>
      <c r="J56" t="str">
        <f>_xlfn.XLOOKUP(AllDataApr[[#This Row],[Site Name]],LocationsKey[Site Name], LocationsKey[Waterway])</f>
        <v>Avon</v>
      </c>
      <c r="K56" t="s">
        <v>13</v>
      </c>
      <c r="N56" t="s">
        <v>200</v>
      </c>
      <c r="O56">
        <v>997</v>
      </c>
      <c r="P56">
        <v>19.399999999999999</v>
      </c>
      <c r="Q56">
        <v>8</v>
      </c>
      <c r="R56" s="7" t="str">
        <f>IF(AllDataApr[[#This Row],[Nitrate (PPM)]]&gt;2, "Very high", IF(AllDataApr[[#This Row],[Nitrate (PPM)]]&gt;1, "High", IF(AllDataApr[[#This Row],[Nitrate (PPM)]]&gt;0.5, "Some evidence", IF(AllDataApr[[#This Row],[Nitrate (PPM)]]&gt;0, "No evidence", IF(AllDataApr[[#This Row],[Nitrate (PPM)]]=0, "")))))</f>
        <v>Very high</v>
      </c>
      <c r="S56">
        <v>1.02</v>
      </c>
      <c r="T56" s="7" t="str">
        <f>IF(AllDataApr[[#This Row],[Phosphate (PPM)]]&gt;0.5, "Very high", IF(AllDataApr[[#This Row],[Phosphate (PPM)]]&gt;0.1, "High", IF(AllDataApr[[#This Row],[Phosphate (PPM)]]&gt;0.05, "Some evidence", IF(AllDataApr[[#This Row],[Phosphate (PPM)]]=0, ""))))</f>
        <v>Very high</v>
      </c>
      <c r="U56">
        <v>0</v>
      </c>
    </row>
    <row r="57" spans="1:22" x14ac:dyDescent="0.3">
      <c r="A57" t="s">
        <v>844</v>
      </c>
      <c r="B57" s="2">
        <v>45165</v>
      </c>
      <c r="C57" s="2" t="str" cm="1">
        <f t="array" ref="C5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57">
        <f>YEAR(AllDataApr[[#This Row],[Date]])</f>
        <v>2023</v>
      </c>
      <c r="E57" s="1">
        <v>0.40277777777777779</v>
      </c>
      <c r="F57" s="2" t="str">
        <f>IF(AND(AllDataApr[[#This Row],[Time]]&lt;0.5, AllDataApr[[#This Row],[Time]]&gt;0.17)=TRUE, "Morning", IF(AND(AllDataApr[[#This Row],[Time]]&lt;0.75, AllDataApr[[#This Row],[Time]]&gt;=0.5)=TRUE, "Afternoon", IF(AND(AllDataApr[[#This Row],[Time]]&lt;1, AllDataApr[[#This Row],[Time]]&gt;=0.75)=TRUE, "Evening", "Night")))</f>
        <v>Morning</v>
      </c>
      <c r="G57" t="s">
        <v>16</v>
      </c>
      <c r="H57" t="str">
        <f>_xlfn.XLOOKUP(AllDataApr[[#This Row],[Location Name]], Locations[Row Labels],Locations[Group As])</f>
        <v>Twyning Fleet</v>
      </c>
      <c r="I57" t="str">
        <f>_xlfn.XLOOKUP(AllDataApr[[#This Row],[Site Name]],LocationsKey[Site Name],LocationsKey[Region])</f>
        <v>Tewkesbury</v>
      </c>
      <c r="J57" t="str">
        <f>_xlfn.XLOOKUP(AllDataApr[[#This Row],[Site Name]],LocationsKey[Site Name], LocationsKey[Waterway])</f>
        <v>Avon</v>
      </c>
      <c r="K57" t="s">
        <v>32</v>
      </c>
      <c r="L57">
        <v>52.027028999999999</v>
      </c>
      <c r="M57">
        <v>-2.1405729999999998</v>
      </c>
      <c r="N57" t="s">
        <v>18</v>
      </c>
      <c r="O57">
        <v>1010</v>
      </c>
      <c r="P57">
        <v>20.399999999999999</v>
      </c>
      <c r="Q57">
        <v>10</v>
      </c>
      <c r="R57" s="7" t="str">
        <f>IF(AllDataApr[[#This Row],[Nitrate (PPM)]]&gt;2, "Very high", IF(AllDataApr[[#This Row],[Nitrate (PPM)]]&gt;1, "High", IF(AllDataApr[[#This Row],[Nitrate (PPM)]]&gt;0.5, "Some evidence", IF(AllDataApr[[#This Row],[Nitrate (PPM)]]&gt;0, "No evidence", IF(AllDataApr[[#This Row],[Nitrate (PPM)]]=0, "")))))</f>
        <v>Very high</v>
      </c>
      <c r="S57">
        <v>1.07</v>
      </c>
      <c r="T57" s="7" t="str">
        <f>IF(AllDataApr[[#This Row],[Phosphate (PPM)]]&gt;0.5, "Very high", IF(AllDataApr[[#This Row],[Phosphate (PPM)]]&gt;0.1, "High", IF(AllDataApr[[#This Row],[Phosphate (PPM)]]&gt;0.05, "Some evidence", IF(AllDataApr[[#This Row],[Phosphate (PPM)]]=0, ""))))</f>
        <v>Very high</v>
      </c>
      <c r="U57">
        <v>0</v>
      </c>
      <c r="V57" t="s">
        <v>54</v>
      </c>
    </row>
    <row r="58" spans="1:22" x14ac:dyDescent="0.3">
      <c r="A58" t="s">
        <v>841</v>
      </c>
      <c r="B58" s="2">
        <v>45165</v>
      </c>
      <c r="C58" s="2" t="str" cm="1">
        <f t="array" ref="C5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58">
        <f>YEAR(AllDataApr[[#This Row],[Date]])</f>
        <v>2023</v>
      </c>
      <c r="E58" s="1">
        <v>0.46527777777777779</v>
      </c>
      <c r="F58" s="2" t="str">
        <f>IF(AND(AllDataApr[[#This Row],[Time]]&lt;0.5, AllDataApr[[#This Row],[Time]]&gt;0.17)=TRUE, "Morning", IF(AND(AllDataApr[[#This Row],[Time]]&lt;0.75, AllDataApr[[#This Row],[Time]]&gt;=0.5)=TRUE, "Afternoon", IF(AND(AllDataApr[[#This Row],[Time]]&lt;1, AllDataApr[[#This Row],[Time]]&gt;=0.75)=TRUE, "Evening", "Night")))</f>
        <v>Morning</v>
      </c>
      <c r="G58" t="s">
        <v>20</v>
      </c>
      <c r="H58" t="str">
        <f>_xlfn.XLOOKUP(AllDataApr[[#This Row],[Location Name]], Locations[Row Labels],Locations[Group As])</f>
        <v>Hampton Wood</v>
      </c>
      <c r="I58" t="str">
        <f>_xlfn.XLOOKUP(AllDataApr[[#This Row],[Site Name]],LocationsKey[Site Name],LocationsKey[Region])</f>
        <v>Stratford</v>
      </c>
      <c r="J58" t="str">
        <f>_xlfn.XLOOKUP(AllDataApr[[#This Row],[Site Name]],LocationsKey[Site Name], LocationsKey[Waterway])</f>
        <v>Avon</v>
      </c>
      <c r="K58" t="s">
        <v>25</v>
      </c>
      <c r="L58">
        <v>52.238149999999997</v>
      </c>
      <c r="M58">
        <v>-1.6245799999999999</v>
      </c>
      <c r="N58" t="s">
        <v>18</v>
      </c>
      <c r="O58">
        <v>950</v>
      </c>
      <c r="P58">
        <v>19.100000000000001</v>
      </c>
      <c r="Q58">
        <v>7</v>
      </c>
      <c r="R58" s="7" t="str">
        <f>IF(AllDataApr[[#This Row],[Nitrate (PPM)]]&gt;2, "Very high", IF(AllDataApr[[#This Row],[Nitrate (PPM)]]&gt;1, "High", IF(AllDataApr[[#This Row],[Nitrate (PPM)]]&gt;0.5, "Some evidence", IF(AllDataApr[[#This Row],[Nitrate (PPM)]]&gt;0, "No evidence", IF(AllDataApr[[#This Row],[Nitrate (PPM)]]=0, "")))))</f>
        <v>Very high</v>
      </c>
      <c r="S58">
        <v>0.42</v>
      </c>
      <c r="T58" s="7" t="str">
        <f>IF(AllDataApr[[#This Row],[Phosphate (PPM)]]&gt;0.5, "Very high", IF(AllDataApr[[#This Row],[Phosphate (PPM)]]&gt;0.1, "High", IF(AllDataApr[[#This Row],[Phosphate (PPM)]]&gt;0.05, "Some evidence", IF(AllDataApr[[#This Row],[Phosphate (PPM)]]=0, ""))))</f>
        <v>High</v>
      </c>
      <c r="U58">
        <v>0</v>
      </c>
    </row>
    <row r="59" spans="1:22" x14ac:dyDescent="0.3">
      <c r="A59" t="s">
        <v>840</v>
      </c>
      <c r="B59" s="2">
        <v>45165</v>
      </c>
      <c r="C59" s="2" t="str" cm="1">
        <f t="array" ref="C5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59">
        <f>YEAR(AllDataApr[[#This Row],[Date]])</f>
        <v>2023</v>
      </c>
      <c r="E59" s="1">
        <v>0.52083333333333337</v>
      </c>
      <c r="F59" s="2" t="str">
        <f>IF(AND(AllDataApr[[#This Row],[Time]]&lt;0.5, AllDataApr[[#This Row],[Time]]&gt;0.17)=TRUE, "Morning", IF(AND(AllDataApr[[#This Row],[Time]]&lt;0.75, AllDataApr[[#This Row],[Time]]&gt;=0.5)=TRUE, "Afternoon", IF(AND(AllDataApr[[#This Row],[Time]]&lt;1, AllDataApr[[#This Row],[Time]]&gt;=0.75)=TRUE, "Evening", "Night")))</f>
        <v>Afternoon</v>
      </c>
      <c r="G59" t="s">
        <v>20</v>
      </c>
      <c r="H59" t="str">
        <f>_xlfn.XLOOKUP(AllDataApr[[#This Row],[Location Name]], Locations[Row Labels],Locations[Group As])</f>
        <v>Hampton Lucy</v>
      </c>
      <c r="I59" t="str">
        <f>_xlfn.XLOOKUP(AllDataApr[[#This Row],[Site Name]],LocationsKey[Site Name],LocationsKey[Region])</f>
        <v>Stratford</v>
      </c>
      <c r="J59" t="str">
        <f>_xlfn.XLOOKUP(AllDataApr[[#This Row],[Site Name]],LocationsKey[Site Name], LocationsKey[Waterway])</f>
        <v>Avon</v>
      </c>
      <c r="K59" t="s">
        <v>27</v>
      </c>
      <c r="L59">
        <v>52.211680000000001</v>
      </c>
      <c r="M59">
        <v>-1.6244400000000001</v>
      </c>
      <c r="N59" t="s">
        <v>200</v>
      </c>
      <c r="O59">
        <v>948</v>
      </c>
      <c r="P59">
        <v>18.8</v>
      </c>
      <c r="Q59">
        <v>7</v>
      </c>
      <c r="R59" s="7" t="str">
        <f>IF(AllDataApr[[#This Row],[Nitrate (PPM)]]&gt;2, "Very high", IF(AllDataApr[[#This Row],[Nitrate (PPM)]]&gt;1, "High", IF(AllDataApr[[#This Row],[Nitrate (PPM)]]&gt;0.5, "Some evidence", IF(AllDataApr[[#This Row],[Nitrate (PPM)]]&gt;0, "No evidence", IF(AllDataApr[[#This Row],[Nitrate (PPM)]]=0, "")))))</f>
        <v>Very high</v>
      </c>
      <c r="S59">
        <v>0.49</v>
      </c>
      <c r="T59" s="7" t="str">
        <f>IF(AllDataApr[[#This Row],[Phosphate (PPM)]]&gt;0.5, "Very high", IF(AllDataApr[[#This Row],[Phosphate (PPM)]]&gt;0.1, "High", IF(AllDataApr[[#This Row],[Phosphate (PPM)]]&gt;0.05, "Some evidence", IF(AllDataApr[[#This Row],[Phosphate (PPM)]]=0, ""))))</f>
        <v>High</v>
      </c>
      <c r="U59">
        <v>0</v>
      </c>
    </row>
    <row r="60" spans="1:22" x14ac:dyDescent="0.3">
      <c r="A60" t="s">
        <v>839</v>
      </c>
      <c r="B60" s="2">
        <v>45165</v>
      </c>
      <c r="C60" s="2" t="str" cm="1">
        <f t="array" ref="C6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60">
        <f>YEAR(AllDataApr[[#This Row],[Date]])</f>
        <v>2023</v>
      </c>
      <c r="E60" s="1">
        <v>0.70833333333333337</v>
      </c>
      <c r="F60" s="2" t="str">
        <f>IF(AND(AllDataApr[[#This Row],[Time]]&lt;0.5, AllDataApr[[#This Row],[Time]]&gt;0.17)=TRUE, "Morning", IF(AND(AllDataApr[[#This Row],[Time]]&lt;0.75, AllDataApr[[#This Row],[Time]]&gt;=0.5)=TRUE, "Afternoon", IF(AND(AllDataApr[[#This Row],[Time]]&lt;1, AllDataApr[[#This Row],[Time]]&gt;=0.75)=TRUE, "Evening", "Night")))</f>
        <v>Afternoon</v>
      </c>
      <c r="G60" t="s">
        <v>35</v>
      </c>
      <c r="H60" t="str">
        <f>_xlfn.XLOOKUP(AllDataApr[[#This Row],[Location Name]], Locations[Row Labels],Locations[Group As])</f>
        <v>Welford Boat Station</v>
      </c>
      <c r="I60" t="str">
        <f>_xlfn.XLOOKUP(AllDataApr[[#This Row],[Site Name]],LocationsKey[Site Name],LocationsKey[Region])</f>
        <v>Stratford</v>
      </c>
      <c r="J60" t="str">
        <f>_xlfn.XLOOKUP(AllDataApr[[#This Row],[Site Name]],LocationsKey[Site Name], LocationsKey[Waterway])</f>
        <v>Avon</v>
      </c>
      <c r="K60" t="s">
        <v>22</v>
      </c>
      <c r="L60">
        <v>52.175240000000002</v>
      </c>
      <c r="M60">
        <v>-1.7918700000000001</v>
      </c>
      <c r="N60" t="s">
        <v>18</v>
      </c>
      <c r="O60">
        <v>992</v>
      </c>
      <c r="P60">
        <v>18.600000000000001</v>
      </c>
      <c r="Q60">
        <v>5</v>
      </c>
      <c r="R60" s="7" t="str">
        <f>IF(AllDataApr[[#This Row],[Nitrate (PPM)]]&gt;2, "Very high", IF(AllDataApr[[#This Row],[Nitrate (PPM)]]&gt;1, "High", IF(AllDataApr[[#This Row],[Nitrate (PPM)]]&gt;0.5, "Some evidence", IF(AllDataApr[[#This Row],[Nitrate (PPM)]]&gt;0, "No evidence", IF(AllDataApr[[#This Row],[Nitrate (PPM)]]=0, "")))))</f>
        <v>Very high</v>
      </c>
      <c r="S60">
        <v>0.54</v>
      </c>
      <c r="T60" s="7" t="str">
        <f>IF(AllDataApr[[#This Row],[Phosphate (PPM)]]&gt;0.5, "Very high", IF(AllDataApr[[#This Row],[Phosphate (PPM)]]&gt;0.1, "High", IF(AllDataApr[[#This Row],[Phosphate (PPM)]]&gt;0.05, "Some evidence", IF(AllDataApr[[#This Row],[Phosphate (PPM)]]=0, ""))))</f>
        <v>Very high</v>
      </c>
      <c r="U60">
        <v>0</v>
      </c>
      <c r="V60" t="s">
        <v>51</v>
      </c>
    </row>
    <row r="61" spans="1:22" x14ac:dyDescent="0.3">
      <c r="A61" t="s">
        <v>843</v>
      </c>
      <c r="B61" s="2">
        <v>45167</v>
      </c>
      <c r="C61" s="2" t="str" cm="1">
        <f t="array" ref="C6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61">
        <f>YEAR(AllDataApr[[#This Row],[Date]])</f>
        <v>2023</v>
      </c>
      <c r="E61" s="1">
        <v>0.60624999999999996</v>
      </c>
      <c r="F61" s="2" t="str">
        <f>IF(AND(AllDataApr[[#This Row],[Time]]&lt;0.5, AllDataApr[[#This Row],[Time]]&gt;0.17)=TRUE, "Morning", IF(AND(AllDataApr[[#This Row],[Time]]&lt;0.75, AllDataApr[[#This Row],[Time]]&gt;=0.5)=TRUE, "Afternoon", IF(AND(AllDataApr[[#This Row],[Time]]&lt;1, AllDataApr[[#This Row],[Time]]&gt;=0.75)=TRUE, "Evening", "Night")))</f>
        <v>Afternoon</v>
      </c>
      <c r="G61" t="s">
        <v>55</v>
      </c>
      <c r="H61" t="str">
        <f>_xlfn.XLOOKUP(AllDataApr[[#This Row],[Location Name]], Locations[Row Labels],Locations[Group As])</f>
        <v>Talton Lodge</v>
      </c>
      <c r="I61" t="str">
        <f>_xlfn.XLOOKUP(AllDataApr[[#This Row],[Site Name]],LocationsKey[Site Name],LocationsKey[Region])</f>
        <v>Stratford</v>
      </c>
      <c r="J61" t="str">
        <f>_xlfn.XLOOKUP(AllDataApr[[#This Row],[Site Name]],LocationsKey[Site Name], LocationsKey[Waterway])</f>
        <v>Avon</v>
      </c>
      <c r="K61" t="s">
        <v>56</v>
      </c>
      <c r="L61">
        <v>52.120947999999999</v>
      </c>
      <c r="M61">
        <v>-1.6505399999999999</v>
      </c>
      <c r="N61" t="s">
        <v>18</v>
      </c>
      <c r="O61">
        <v>819</v>
      </c>
      <c r="P61">
        <v>15.8</v>
      </c>
      <c r="Q61">
        <v>10</v>
      </c>
      <c r="R61" s="7" t="str">
        <f>IF(AllDataApr[[#This Row],[Nitrate (PPM)]]&gt;2, "Very high", IF(AllDataApr[[#This Row],[Nitrate (PPM)]]&gt;1, "High", IF(AllDataApr[[#This Row],[Nitrate (PPM)]]&gt;0.5, "Some evidence", IF(AllDataApr[[#This Row],[Nitrate (PPM)]]&gt;0, "No evidence", IF(AllDataApr[[#This Row],[Nitrate (PPM)]]=0, "")))))</f>
        <v>Very high</v>
      </c>
      <c r="S61">
        <v>0.33</v>
      </c>
      <c r="T61" s="7" t="str">
        <f>IF(AllDataApr[[#This Row],[Phosphate (PPM)]]&gt;0.5, "Very high", IF(AllDataApr[[#This Row],[Phosphate (PPM)]]&gt;0.1, "High", IF(AllDataApr[[#This Row],[Phosphate (PPM)]]&gt;0.05, "Some evidence", IF(AllDataApr[[#This Row],[Phosphate (PPM)]]=0, ""))))</f>
        <v>High</v>
      </c>
      <c r="U61">
        <v>0.5</v>
      </c>
    </row>
    <row r="62" spans="1:22" x14ac:dyDescent="0.3">
      <c r="A62" t="s">
        <v>838</v>
      </c>
      <c r="B62" s="2">
        <v>45167</v>
      </c>
      <c r="C62" s="2" t="str" cm="1">
        <f t="array" ref="C6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62">
        <f>YEAR(AllDataApr[[#This Row],[Date]])</f>
        <v>2023</v>
      </c>
      <c r="E62" s="1">
        <v>0.69791666666666663</v>
      </c>
      <c r="F62" s="2" t="str">
        <f>IF(AND(AllDataApr[[#This Row],[Time]]&lt;0.5, AllDataApr[[#This Row],[Time]]&gt;0.17)=TRUE, "Morning", IF(AND(AllDataApr[[#This Row],[Time]]&lt;0.75, AllDataApr[[#This Row],[Time]]&gt;=0.5)=TRUE, "Afternoon", IF(AND(AllDataApr[[#This Row],[Time]]&lt;1, AllDataApr[[#This Row],[Time]]&gt;=0.75)=TRUE, "Evening", "Night")))</f>
        <v>Afternoon</v>
      </c>
      <c r="G62" t="s">
        <v>20</v>
      </c>
      <c r="H62" t="str">
        <f>_xlfn.XLOOKUP(AllDataApr[[#This Row],[Location Name]], Locations[Row Labels],Locations[Group As])</f>
        <v>Weston-on-Avon</v>
      </c>
      <c r="I62" t="str">
        <f>_xlfn.XLOOKUP(AllDataApr[[#This Row],[Site Name]],LocationsKey[Site Name],LocationsKey[Region])</f>
        <v>Stratford</v>
      </c>
      <c r="J62" t="str">
        <f>_xlfn.XLOOKUP(AllDataApr[[#This Row],[Site Name]],LocationsKey[Site Name], LocationsKey[Waterway])</f>
        <v>Avon</v>
      </c>
      <c r="K62" t="s">
        <v>23</v>
      </c>
      <c r="L62">
        <v>52.167430000000003</v>
      </c>
      <c r="M62">
        <v>-1.7744800000000001</v>
      </c>
      <c r="N62" t="s">
        <v>18</v>
      </c>
      <c r="O62">
        <v>1028</v>
      </c>
      <c r="P62">
        <v>18.5</v>
      </c>
      <c r="Q62">
        <v>5</v>
      </c>
      <c r="R62" s="7" t="str">
        <f>IF(AllDataApr[[#This Row],[Nitrate (PPM)]]&gt;2, "Very high", IF(AllDataApr[[#This Row],[Nitrate (PPM)]]&gt;1, "High", IF(AllDataApr[[#This Row],[Nitrate (PPM)]]&gt;0.5, "Some evidence", IF(AllDataApr[[#This Row],[Nitrate (PPM)]]&gt;0, "No evidence", IF(AllDataApr[[#This Row],[Nitrate (PPM)]]=0, "")))))</f>
        <v>Very high</v>
      </c>
      <c r="S62">
        <v>0.76</v>
      </c>
      <c r="T62" s="7" t="str">
        <f>IF(AllDataApr[[#This Row],[Phosphate (PPM)]]&gt;0.5, "Very high", IF(AllDataApr[[#This Row],[Phosphate (PPM)]]&gt;0.1, "High", IF(AllDataApr[[#This Row],[Phosphate (PPM)]]&gt;0.05, "Some evidence", IF(AllDataApr[[#This Row],[Phosphate (PPM)]]=0, ""))))</f>
        <v>Very high</v>
      </c>
      <c r="U62">
        <v>0</v>
      </c>
    </row>
    <row r="63" spans="1:22" x14ac:dyDescent="0.3">
      <c r="A63" t="s">
        <v>842</v>
      </c>
      <c r="B63" s="2">
        <v>45168</v>
      </c>
      <c r="C63" s="2" t="str" cm="1">
        <f t="array" ref="C6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63">
        <f>YEAR(AllDataApr[[#This Row],[Date]])</f>
        <v>2023</v>
      </c>
      <c r="E63" s="1">
        <v>0.47708333333333336</v>
      </c>
      <c r="F63" s="2" t="str">
        <f>IF(AND(AllDataApr[[#This Row],[Time]]&lt;0.5, AllDataApr[[#This Row],[Time]]&gt;0.17)=TRUE, "Morning", IF(AND(AllDataApr[[#This Row],[Time]]&lt;0.75, AllDataApr[[#This Row],[Time]]&gt;=0.5)=TRUE, "Afternoon", IF(AND(AllDataApr[[#This Row],[Time]]&lt;1, AllDataApr[[#This Row],[Time]]&gt;=0.75)=TRUE, "Evening", "Night")))</f>
        <v>Morning</v>
      </c>
      <c r="G63" t="s">
        <v>57</v>
      </c>
      <c r="H63" t="str">
        <f>_xlfn.XLOOKUP(AllDataApr[[#This Row],[Location Name]], Locations[Row Labels],Locations[Group As])</f>
        <v>Stour Newbold Mill</v>
      </c>
      <c r="I63" t="str">
        <f>_xlfn.XLOOKUP(AllDataApr[[#This Row],[Site Name]],LocationsKey[Site Name],LocationsKey[Region])</f>
        <v>Shipston</v>
      </c>
      <c r="J63" t="str">
        <f>_xlfn.XLOOKUP(AllDataApr[[#This Row],[Site Name]],LocationsKey[Site Name], LocationsKey[Waterway])</f>
        <v>Stour</v>
      </c>
      <c r="K63" t="s">
        <v>929</v>
      </c>
      <c r="L63">
        <v>52.113463000000003</v>
      </c>
      <c r="M63">
        <v>-1.633265</v>
      </c>
      <c r="N63" t="s">
        <v>18</v>
      </c>
      <c r="O63">
        <v>637</v>
      </c>
      <c r="P63">
        <v>18.399999999999999</v>
      </c>
      <c r="Q63">
        <v>2</v>
      </c>
      <c r="R63" s="7" t="str">
        <f>IF(AllDataApr[[#This Row],[Nitrate (PPM)]]&gt;2, "Very high", IF(AllDataApr[[#This Row],[Nitrate (PPM)]]&gt;1, "High", IF(AllDataApr[[#This Row],[Nitrate (PPM)]]&gt;0.5, "Some evidence", IF(AllDataApr[[#This Row],[Nitrate (PPM)]]&gt;0, "No evidence", IF(AllDataApr[[#This Row],[Nitrate (PPM)]]=0, "")))))</f>
        <v>High</v>
      </c>
      <c r="S63">
        <v>0.78</v>
      </c>
      <c r="T63" s="7" t="str">
        <f>IF(AllDataApr[[#This Row],[Phosphate (PPM)]]&gt;0.5, "Very high", IF(AllDataApr[[#This Row],[Phosphate (PPM)]]&gt;0.1, "High", IF(AllDataApr[[#This Row],[Phosphate (PPM)]]&gt;0.05, "Some evidence", IF(AllDataApr[[#This Row],[Phosphate (PPM)]]=0, ""))))</f>
        <v>Very high</v>
      </c>
      <c r="U63">
        <v>2</v>
      </c>
      <c r="V63" t="s">
        <v>58</v>
      </c>
    </row>
    <row r="64" spans="1:22" x14ac:dyDescent="0.3">
      <c r="A64" t="s">
        <v>837</v>
      </c>
      <c r="B64" s="2">
        <v>45168</v>
      </c>
      <c r="C64" s="2" t="str" cm="1">
        <f t="array" ref="C6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64">
        <f>YEAR(AllDataApr[[#This Row],[Date]])</f>
        <v>2023</v>
      </c>
      <c r="E64" s="1">
        <v>0.52083333333333337</v>
      </c>
      <c r="F64" s="2" t="str">
        <f>IF(AND(AllDataApr[[#This Row],[Time]]&lt;0.5, AllDataApr[[#This Row],[Time]]&gt;0.17)=TRUE, "Morning", IF(AND(AllDataApr[[#This Row],[Time]]&lt;0.75, AllDataApr[[#This Row],[Time]]&gt;=0.5)=TRUE, "Afternoon", IF(AND(AllDataApr[[#This Row],[Time]]&lt;1, AllDataApr[[#This Row],[Time]]&gt;=0.75)=TRUE, "Evening", "Night")))</f>
        <v>Afternoon</v>
      </c>
      <c r="G64" t="s">
        <v>20</v>
      </c>
      <c r="H64" t="str">
        <f>_xlfn.XLOOKUP(AllDataApr[[#This Row],[Location Name]], Locations[Row Labels],Locations[Group As])</f>
        <v>Barton</v>
      </c>
      <c r="I64" t="str">
        <f>_xlfn.XLOOKUP(AllDataApr[[#This Row],[Site Name]],LocationsKey[Site Name],LocationsKey[Region])</f>
        <v>Stratford</v>
      </c>
      <c r="J64" t="str">
        <f>_xlfn.XLOOKUP(AllDataApr[[#This Row],[Site Name]],LocationsKey[Site Name], LocationsKey[Waterway])</f>
        <v>Avon</v>
      </c>
      <c r="K64" t="s">
        <v>29</v>
      </c>
      <c r="L64">
        <v>52.161209999999997</v>
      </c>
      <c r="M64">
        <v>-1.8301499999999999</v>
      </c>
      <c r="N64" t="s">
        <v>200</v>
      </c>
      <c r="O64">
        <v>1018</v>
      </c>
      <c r="P64">
        <v>17</v>
      </c>
      <c r="Q64">
        <v>7</v>
      </c>
      <c r="R64" s="7" t="str">
        <f>IF(AllDataApr[[#This Row],[Nitrate (PPM)]]&gt;2, "Very high", IF(AllDataApr[[#This Row],[Nitrate (PPM)]]&gt;1, "High", IF(AllDataApr[[#This Row],[Nitrate (PPM)]]&gt;0.5, "Some evidence", IF(AllDataApr[[#This Row],[Nitrate (PPM)]]&gt;0, "No evidence", IF(AllDataApr[[#This Row],[Nitrate (PPM)]]=0, "")))))</f>
        <v>Very high</v>
      </c>
      <c r="S64">
        <v>0.63</v>
      </c>
      <c r="T64" s="7" t="str">
        <f>IF(AllDataApr[[#This Row],[Phosphate (PPM)]]&gt;0.5, "Very high", IF(AllDataApr[[#This Row],[Phosphate (PPM)]]&gt;0.1, "High", IF(AllDataApr[[#This Row],[Phosphate (PPM)]]&gt;0.05, "Some evidence", IF(AllDataApr[[#This Row],[Phosphate (PPM)]]=0, ""))))</f>
        <v>Very high</v>
      </c>
      <c r="U64">
        <v>0</v>
      </c>
    </row>
    <row r="65" spans="1:22" x14ac:dyDescent="0.3">
      <c r="A65" t="s">
        <v>836</v>
      </c>
      <c r="B65" s="2">
        <v>45169</v>
      </c>
      <c r="C65" s="2" t="str" cm="1">
        <f t="array" ref="C6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65">
        <f>YEAR(AllDataApr[[#This Row],[Date]])</f>
        <v>2023</v>
      </c>
      <c r="E65" s="1">
        <v>0.43055555555555558</v>
      </c>
      <c r="F65" s="2" t="str">
        <f>IF(AND(AllDataApr[[#This Row],[Time]]&lt;0.5, AllDataApr[[#This Row],[Time]]&gt;0.17)=TRUE, "Morning", IF(AND(AllDataApr[[#This Row],[Time]]&lt;0.75, AllDataApr[[#This Row],[Time]]&gt;=0.5)=TRUE, "Afternoon", IF(AND(AllDataApr[[#This Row],[Time]]&lt;1, AllDataApr[[#This Row],[Time]]&gt;=0.75)=TRUE, "Evening", "Night")))</f>
        <v>Morning</v>
      </c>
      <c r="G65" t="s">
        <v>59</v>
      </c>
      <c r="H65" t="str">
        <f>_xlfn.XLOOKUP(AllDataApr[[#This Row],[Location Name]], Locations[Row Labels],Locations[Group As])</f>
        <v>Preston-on-Stour River Bridge</v>
      </c>
      <c r="I65" t="str">
        <f>_xlfn.XLOOKUP(AllDataApr[[#This Row],[Site Name]],LocationsKey[Site Name],LocationsKey[Region])</f>
        <v>Stratford</v>
      </c>
      <c r="J65" t="str">
        <f>_xlfn.XLOOKUP(AllDataApr[[#This Row],[Site Name]],LocationsKey[Site Name], LocationsKey[Waterway])</f>
        <v>Stour</v>
      </c>
      <c r="K65" t="s">
        <v>60</v>
      </c>
      <c r="L65">
        <v>52.146448999999997</v>
      </c>
      <c r="M65">
        <v>-1.7003729999999999</v>
      </c>
      <c r="N65" t="s">
        <v>18</v>
      </c>
      <c r="O65">
        <v>699</v>
      </c>
      <c r="P65">
        <v>16</v>
      </c>
      <c r="Q65">
        <v>5</v>
      </c>
      <c r="R65" s="7" t="str">
        <f>IF(AllDataApr[[#This Row],[Nitrate (PPM)]]&gt;2, "Very high", IF(AllDataApr[[#This Row],[Nitrate (PPM)]]&gt;1, "High", IF(AllDataApr[[#This Row],[Nitrate (PPM)]]&gt;0.5, "Some evidence", IF(AllDataApr[[#This Row],[Nitrate (PPM)]]&gt;0, "No evidence", IF(AllDataApr[[#This Row],[Nitrate (PPM)]]=0, "")))))</f>
        <v>Very high</v>
      </c>
      <c r="S65">
        <v>0.55000000000000004</v>
      </c>
      <c r="T65" s="7" t="str">
        <f>IF(AllDataApr[[#This Row],[Phosphate (PPM)]]&gt;0.5, "Very high", IF(AllDataApr[[#This Row],[Phosphate (PPM)]]&gt;0.1, "High", IF(AllDataApr[[#This Row],[Phosphate (PPM)]]&gt;0.05, "Some evidence", IF(AllDataApr[[#This Row],[Phosphate (PPM)]]=0, ""))))</f>
        <v>Very high</v>
      </c>
      <c r="U65">
        <v>4</v>
      </c>
      <c r="V65" t="s">
        <v>61</v>
      </c>
    </row>
    <row r="66" spans="1:22" x14ac:dyDescent="0.3">
      <c r="A66" t="s">
        <v>835</v>
      </c>
      <c r="B66" s="2">
        <v>45169</v>
      </c>
      <c r="C66" s="2" t="str" cm="1">
        <f t="array" ref="C6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Summer</v>
      </c>
      <c r="D66">
        <f>YEAR(AllDataApr[[#This Row],[Date]])</f>
        <v>2023</v>
      </c>
      <c r="E66" s="1">
        <v>0.60763888888888884</v>
      </c>
      <c r="F66" s="2" t="str">
        <f>IF(AND(AllDataApr[[#This Row],[Time]]&lt;0.5, AllDataApr[[#This Row],[Time]]&gt;0.17)=TRUE, "Morning", IF(AND(AllDataApr[[#This Row],[Time]]&lt;0.75, AllDataApr[[#This Row],[Time]]&gt;=0.5)=TRUE, "Afternoon", IF(AND(AllDataApr[[#This Row],[Time]]&lt;1, AllDataApr[[#This Row],[Time]]&gt;=0.75)=TRUE, "Evening", "Night")))</f>
        <v>Afternoon</v>
      </c>
      <c r="G66" t="s">
        <v>46</v>
      </c>
      <c r="H66" t="str">
        <f>_xlfn.XLOOKUP(AllDataApr[[#This Row],[Location Name]], Locations[Row Labels],Locations[Group As])</f>
        <v>Swilgate</v>
      </c>
      <c r="I66" t="str">
        <f>_xlfn.XLOOKUP(AllDataApr[[#This Row],[Site Name]],LocationsKey[Site Name],LocationsKey[Region])</f>
        <v>Tewkesbury</v>
      </c>
      <c r="J66" t="str">
        <f>_xlfn.XLOOKUP(AllDataApr[[#This Row],[Site Name]],LocationsKey[Site Name], LocationsKey[Waterway])</f>
        <v>Swilgate</v>
      </c>
      <c r="K66" t="s">
        <v>47</v>
      </c>
      <c r="N66" t="s">
        <v>200</v>
      </c>
      <c r="O66">
        <v>872</v>
      </c>
      <c r="P66">
        <v>15.7</v>
      </c>
      <c r="Q66">
        <v>8</v>
      </c>
      <c r="R66" s="7" t="str">
        <f>IF(AllDataApr[[#This Row],[Nitrate (PPM)]]&gt;2, "Very high", IF(AllDataApr[[#This Row],[Nitrate (PPM)]]&gt;1, "High", IF(AllDataApr[[#This Row],[Nitrate (PPM)]]&gt;0.5, "Some evidence", IF(AllDataApr[[#This Row],[Nitrate (PPM)]]&gt;0, "No evidence", IF(AllDataApr[[#This Row],[Nitrate (PPM)]]=0, "")))))</f>
        <v>Very high</v>
      </c>
      <c r="S66">
        <v>0.65</v>
      </c>
      <c r="T66" s="7" t="str">
        <f>IF(AllDataApr[[#This Row],[Phosphate (PPM)]]&gt;0.5, "Very high", IF(AllDataApr[[#This Row],[Phosphate (PPM)]]&gt;0.1, "High", IF(AllDataApr[[#This Row],[Phosphate (PPM)]]&gt;0.05, "Some evidence", IF(AllDataApr[[#This Row],[Phosphate (PPM)]]=0, ""))))</f>
        <v>Very high</v>
      </c>
      <c r="U66">
        <v>0</v>
      </c>
    </row>
    <row r="67" spans="1:22" x14ac:dyDescent="0.3">
      <c r="A67" t="s">
        <v>470</v>
      </c>
      <c r="B67" s="2">
        <v>45171</v>
      </c>
      <c r="C67" s="2" t="str" cm="1">
        <f t="array" ref="C6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67">
        <f>YEAR(AllDataApr[[#This Row],[Date]])</f>
        <v>2023</v>
      </c>
      <c r="E67" s="1">
        <v>0.45833333333333331</v>
      </c>
      <c r="F67" s="2" t="str">
        <f>IF(AND(AllDataApr[[#This Row],[Time]]&lt;0.5, AllDataApr[[#This Row],[Time]]&gt;0.17)=TRUE, "Morning", IF(AND(AllDataApr[[#This Row],[Time]]&lt;0.75, AllDataApr[[#This Row],[Time]]&gt;=0.5)=TRUE, "Afternoon", IF(AND(AllDataApr[[#This Row],[Time]]&lt;1, AllDataApr[[#This Row],[Time]]&gt;=0.75)=TRUE, "Evening", "Night")))</f>
        <v>Morning</v>
      </c>
      <c r="G67" t="s">
        <v>278</v>
      </c>
      <c r="H67" t="str">
        <f>_xlfn.XLOOKUP(AllDataApr[[#This Row],[Location Name]], Locations[Row Labels],Locations[Group As])</f>
        <v>Pitch 16</v>
      </c>
      <c r="I67" t="str">
        <f>_xlfn.XLOOKUP(AllDataApr[[#This Row],[Site Name]],LocationsKey[Site Name],LocationsKey[Region])</f>
        <v>Stratford</v>
      </c>
      <c r="J67" t="str">
        <f>_xlfn.XLOOKUP(AllDataApr[[#This Row],[Site Name]],LocationsKey[Site Name], LocationsKey[Waterway])</f>
        <v>Avon</v>
      </c>
      <c r="K67" t="s">
        <v>39</v>
      </c>
      <c r="N67" t="s">
        <v>18</v>
      </c>
      <c r="O67">
        <v>971</v>
      </c>
      <c r="P67">
        <v>21.7</v>
      </c>
      <c r="Q67">
        <v>10</v>
      </c>
      <c r="R67" s="7" t="str">
        <f>IF(AllDataApr[[#This Row],[Nitrate (PPM)]]&gt;2, "Very high", IF(AllDataApr[[#This Row],[Nitrate (PPM)]]&gt;1, "High", IF(AllDataApr[[#This Row],[Nitrate (PPM)]]&gt;0.5, "Some evidence", IF(AllDataApr[[#This Row],[Nitrate (PPM)]]&gt;0, "No evidence", IF(AllDataApr[[#This Row],[Nitrate (PPM)]]=0, "")))))</f>
        <v>Very high</v>
      </c>
      <c r="S67">
        <v>0.45</v>
      </c>
      <c r="T67" s="7" t="str">
        <f>IF(AllDataApr[[#This Row],[Phosphate (PPM)]]&gt;0.5, "Very high", IF(AllDataApr[[#This Row],[Phosphate (PPM)]]&gt;0.1, "High", IF(AllDataApr[[#This Row],[Phosphate (PPM)]]&gt;0.05, "Some evidence", IF(AllDataApr[[#This Row],[Phosphate (PPM)]]=0, ""))))</f>
        <v>High</v>
      </c>
      <c r="U67">
        <v>0.56999999999999995</v>
      </c>
    </row>
    <row r="68" spans="1:22" x14ac:dyDescent="0.3">
      <c r="A68" t="s">
        <v>471</v>
      </c>
      <c r="B68" s="2">
        <v>45171</v>
      </c>
      <c r="C68" s="2" t="str" cm="1">
        <f t="array" ref="C6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68">
        <f>YEAR(AllDataApr[[#This Row],[Date]])</f>
        <v>2023</v>
      </c>
      <c r="E68" s="1">
        <v>0.45833333333333331</v>
      </c>
      <c r="F68" s="2" t="str">
        <f>IF(AND(AllDataApr[[#This Row],[Time]]&lt;0.5, AllDataApr[[#This Row],[Time]]&gt;0.17)=TRUE, "Morning", IF(AND(AllDataApr[[#This Row],[Time]]&lt;0.75, AllDataApr[[#This Row],[Time]]&gt;=0.5)=TRUE, "Afternoon", IF(AND(AllDataApr[[#This Row],[Time]]&lt;1, AllDataApr[[#This Row],[Time]]&gt;=0.75)=TRUE, "Evening", "Night")))</f>
        <v>Morning</v>
      </c>
      <c r="G68" t="s">
        <v>278</v>
      </c>
      <c r="H68" t="str">
        <f>_xlfn.XLOOKUP(AllDataApr[[#This Row],[Location Name]], Locations[Row Labels],Locations[Group As])</f>
        <v>Avonbank Drive</v>
      </c>
      <c r="I68" t="str">
        <f>_xlfn.XLOOKUP(AllDataApr[[#This Row],[Site Name]],LocationsKey[Site Name],LocationsKey[Region])</f>
        <v>Stratford</v>
      </c>
      <c r="J68" t="str">
        <f>_xlfn.XLOOKUP(AllDataApr[[#This Row],[Site Name]],LocationsKey[Site Name], LocationsKey[Waterway])</f>
        <v>Avon</v>
      </c>
      <c r="K68" t="s">
        <v>71</v>
      </c>
      <c r="N68" t="s">
        <v>42</v>
      </c>
      <c r="O68">
        <v>990</v>
      </c>
      <c r="P68">
        <v>23.4</v>
      </c>
      <c r="Q68">
        <v>10</v>
      </c>
      <c r="R68" s="7" t="str">
        <f>IF(AllDataApr[[#This Row],[Nitrate (PPM)]]&gt;2, "Very high", IF(AllDataApr[[#This Row],[Nitrate (PPM)]]&gt;1, "High", IF(AllDataApr[[#This Row],[Nitrate (PPM)]]&gt;0.5, "Some evidence", IF(AllDataApr[[#This Row],[Nitrate (PPM)]]&gt;0, "No evidence", IF(AllDataApr[[#This Row],[Nitrate (PPM)]]=0, "")))))</f>
        <v>Very high</v>
      </c>
      <c r="S68">
        <v>0.51</v>
      </c>
      <c r="T68" s="7" t="str">
        <f>IF(AllDataApr[[#This Row],[Phosphate (PPM)]]&gt;0.5, "Very high", IF(AllDataApr[[#This Row],[Phosphate (PPM)]]&gt;0.1, "High", IF(AllDataApr[[#This Row],[Phosphate (PPM)]]&gt;0.05, "Some evidence", IF(AllDataApr[[#This Row],[Phosphate (PPM)]]=0, ""))))</f>
        <v>Very high</v>
      </c>
      <c r="U68">
        <v>0.56999999999999995</v>
      </c>
    </row>
    <row r="69" spans="1:22" x14ac:dyDescent="0.3">
      <c r="A69" t="s">
        <v>825</v>
      </c>
      <c r="B69" s="2">
        <v>45171</v>
      </c>
      <c r="C69" s="2" t="str" cm="1">
        <f t="array" ref="C6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69">
        <f>YEAR(AllDataApr[[#This Row],[Date]])</f>
        <v>2023</v>
      </c>
      <c r="E69" s="1">
        <v>0.60416666666666663</v>
      </c>
      <c r="F69" s="2" t="str">
        <f>IF(AND(AllDataApr[[#This Row],[Time]]&lt;0.5, AllDataApr[[#This Row],[Time]]&gt;0.17)=TRUE, "Morning", IF(AND(AllDataApr[[#This Row],[Time]]&lt;0.75, AllDataApr[[#This Row],[Time]]&gt;=0.5)=TRUE, "Afternoon", IF(AND(AllDataApr[[#This Row],[Time]]&lt;1, AllDataApr[[#This Row],[Time]]&gt;=0.75)=TRUE, "Evening", "Night")))</f>
        <v>Afternoon</v>
      </c>
      <c r="G69" t="s">
        <v>52</v>
      </c>
      <c r="H69" t="str">
        <f>_xlfn.XLOOKUP(AllDataApr[[#This Row],[Location Name]], Locations[Row Labels],Locations[Group As])</f>
        <v>Carrant Bredon Rd</v>
      </c>
      <c r="I69" t="str">
        <f>_xlfn.XLOOKUP(AllDataApr[[#This Row],[Site Name]],LocationsKey[Site Name],LocationsKey[Region])</f>
        <v>Tewkesbury</v>
      </c>
      <c r="J69" t="str">
        <f>_xlfn.XLOOKUP(AllDataApr[[#This Row],[Site Name]],LocationsKey[Site Name], LocationsKey[Waterway])</f>
        <v>Carrant</v>
      </c>
      <c r="K69" t="s">
        <v>53</v>
      </c>
      <c r="N69" t="s">
        <v>200</v>
      </c>
      <c r="O69">
        <v>641</v>
      </c>
      <c r="P69">
        <v>17.3</v>
      </c>
      <c r="Q69">
        <v>6</v>
      </c>
      <c r="R69" s="7" t="str">
        <f>IF(AllDataApr[[#This Row],[Nitrate (PPM)]]&gt;2, "Very high", IF(AllDataApr[[#This Row],[Nitrate (PPM)]]&gt;1, "High", IF(AllDataApr[[#This Row],[Nitrate (PPM)]]&gt;0.5, "Some evidence", IF(AllDataApr[[#This Row],[Nitrate (PPM)]]&gt;0, "No evidence", IF(AllDataApr[[#This Row],[Nitrate (PPM)]]=0, "")))))</f>
        <v>Very high</v>
      </c>
      <c r="S69">
        <v>0.11</v>
      </c>
      <c r="T69" s="7" t="str">
        <f>IF(AllDataApr[[#This Row],[Phosphate (PPM)]]&gt;0.5, "Very high", IF(AllDataApr[[#This Row],[Phosphate (PPM)]]&gt;0.1, "High", IF(AllDataApr[[#This Row],[Phosphate (PPM)]]&gt;0.05, "Some evidence", IF(AllDataApr[[#This Row],[Phosphate (PPM)]]=0, ""))))</f>
        <v>High</v>
      </c>
      <c r="U69">
        <v>0</v>
      </c>
    </row>
    <row r="70" spans="1:22" x14ac:dyDescent="0.3">
      <c r="A70" t="s">
        <v>834</v>
      </c>
      <c r="B70" s="2">
        <v>45171</v>
      </c>
      <c r="C70" s="2" t="str" cm="1">
        <f t="array" ref="C7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70">
        <f>YEAR(AllDataApr[[#This Row],[Date]])</f>
        <v>2023</v>
      </c>
      <c r="E70" s="1">
        <v>0.625</v>
      </c>
      <c r="F70" s="2" t="str">
        <f>IF(AND(AllDataApr[[#This Row],[Time]]&lt;0.5, AllDataApr[[#This Row],[Time]]&gt;0.17)=TRUE, "Morning", IF(AND(AllDataApr[[#This Row],[Time]]&lt;0.75, AllDataApr[[#This Row],[Time]]&gt;=0.5)=TRUE, "Afternoon", IF(AND(AllDataApr[[#This Row],[Time]]&lt;1, AllDataApr[[#This Row],[Time]]&gt;=0.75)=TRUE, "Evening", "Night")))</f>
        <v>Afternoon</v>
      </c>
      <c r="G70" t="s">
        <v>11</v>
      </c>
      <c r="H70" t="str">
        <f>_xlfn.XLOOKUP(AllDataApr[[#This Row],[Location Name]], Locations[Row Labels],Locations[Group As])</f>
        <v>Abbey Mill</v>
      </c>
      <c r="I70" t="str">
        <f>_xlfn.XLOOKUP(AllDataApr[[#This Row],[Site Name]],LocationsKey[Site Name],LocationsKey[Region])</f>
        <v>Tewkesbury</v>
      </c>
      <c r="J70" t="str">
        <f>_xlfn.XLOOKUP(AllDataApr[[#This Row],[Site Name]],LocationsKey[Site Name], LocationsKey[Waterway])</f>
        <v>Avon</v>
      </c>
      <c r="K70" t="s">
        <v>13</v>
      </c>
      <c r="N70" t="s">
        <v>200</v>
      </c>
      <c r="O70">
        <v>1020</v>
      </c>
      <c r="P70">
        <v>19.5</v>
      </c>
      <c r="Q70">
        <v>10</v>
      </c>
      <c r="R70" s="7" t="str">
        <f>IF(AllDataApr[[#This Row],[Nitrate (PPM)]]&gt;2, "Very high", IF(AllDataApr[[#This Row],[Nitrate (PPM)]]&gt;1, "High", IF(AllDataApr[[#This Row],[Nitrate (PPM)]]&gt;0.5, "Some evidence", IF(AllDataApr[[#This Row],[Nitrate (PPM)]]&gt;0, "No evidence", IF(AllDataApr[[#This Row],[Nitrate (PPM)]]=0, "")))))</f>
        <v>Very high</v>
      </c>
      <c r="S70">
        <v>1.08</v>
      </c>
      <c r="T70" s="7" t="str">
        <f>IF(AllDataApr[[#This Row],[Phosphate (PPM)]]&gt;0.5, "Very high", IF(AllDataApr[[#This Row],[Phosphate (PPM)]]&gt;0.1, "High", IF(AllDataApr[[#This Row],[Phosphate (PPM)]]&gt;0.05, "Some evidence", IF(AllDataApr[[#This Row],[Phosphate (PPM)]]=0, ""))))</f>
        <v>Very high</v>
      </c>
      <c r="U70">
        <v>0</v>
      </c>
    </row>
    <row r="71" spans="1:22" x14ac:dyDescent="0.3">
      <c r="A71" t="s">
        <v>833</v>
      </c>
      <c r="B71" s="2">
        <v>45172</v>
      </c>
      <c r="C71" s="2" t="str" cm="1">
        <f t="array" ref="C7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71">
        <f>YEAR(AllDataApr[[#This Row],[Date]])</f>
        <v>2023</v>
      </c>
      <c r="E71" s="1">
        <v>0.49305555555555558</v>
      </c>
      <c r="F71" s="2" t="str">
        <f>IF(AND(AllDataApr[[#This Row],[Time]]&lt;0.5, AllDataApr[[#This Row],[Time]]&gt;0.17)=TRUE, "Morning", IF(AND(AllDataApr[[#This Row],[Time]]&lt;0.75, AllDataApr[[#This Row],[Time]]&gt;=0.5)=TRUE, "Afternoon", IF(AND(AllDataApr[[#This Row],[Time]]&lt;1, AllDataApr[[#This Row],[Time]]&gt;=0.75)=TRUE, "Evening", "Night")))</f>
        <v>Morning</v>
      </c>
      <c r="G71" t="s">
        <v>20</v>
      </c>
      <c r="H71" t="str">
        <f>_xlfn.XLOOKUP(AllDataApr[[#This Row],[Location Name]], Locations[Row Labels],Locations[Group As])</f>
        <v>Hampton Wood</v>
      </c>
      <c r="I71" t="str">
        <f>_xlfn.XLOOKUP(AllDataApr[[#This Row],[Site Name]],LocationsKey[Site Name],LocationsKey[Region])</f>
        <v>Stratford</v>
      </c>
      <c r="J71" t="str">
        <f>_xlfn.XLOOKUP(AllDataApr[[#This Row],[Site Name]],LocationsKey[Site Name], LocationsKey[Waterway])</f>
        <v>Avon</v>
      </c>
      <c r="K71" t="s">
        <v>25</v>
      </c>
      <c r="L71">
        <v>52.238149999999997</v>
      </c>
      <c r="M71">
        <v>-1.6245799999999999</v>
      </c>
      <c r="N71" t="s">
        <v>18</v>
      </c>
      <c r="O71">
        <v>890</v>
      </c>
      <c r="P71">
        <v>21.2</v>
      </c>
      <c r="Q71">
        <v>5</v>
      </c>
      <c r="R71" s="7" t="str">
        <f>IF(AllDataApr[[#This Row],[Nitrate (PPM)]]&gt;2, "Very high", IF(AllDataApr[[#This Row],[Nitrate (PPM)]]&gt;1, "High", IF(AllDataApr[[#This Row],[Nitrate (PPM)]]&gt;0.5, "Some evidence", IF(AllDataApr[[#This Row],[Nitrate (PPM)]]&gt;0, "No evidence", IF(AllDataApr[[#This Row],[Nitrate (PPM)]]=0, "")))))</f>
        <v>Very high</v>
      </c>
      <c r="S71">
        <v>0.52</v>
      </c>
      <c r="T71" s="7" t="str">
        <f>IF(AllDataApr[[#This Row],[Phosphate (PPM)]]&gt;0.5, "Very high", IF(AllDataApr[[#This Row],[Phosphate (PPM)]]&gt;0.1, "High", IF(AllDataApr[[#This Row],[Phosphate (PPM)]]&gt;0.05, "Some evidence", IF(AllDataApr[[#This Row],[Phosphate (PPM)]]=0, ""))))</f>
        <v>Very high</v>
      </c>
      <c r="U71">
        <v>0</v>
      </c>
    </row>
    <row r="72" spans="1:22" x14ac:dyDescent="0.3">
      <c r="A72" s="11" t="s">
        <v>832</v>
      </c>
      <c r="B72" s="2">
        <v>45172</v>
      </c>
      <c r="C72" s="2" t="str" cm="1">
        <f t="array" ref="C7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72">
        <f>YEAR(AllDataApr[[#This Row],[Date]])</f>
        <v>2023</v>
      </c>
      <c r="E72" s="1">
        <v>0.53125</v>
      </c>
      <c r="F72" s="2" t="str">
        <f>IF(AND(AllDataApr[[#This Row],[Time]]&lt;0.5, AllDataApr[[#This Row],[Time]]&gt;0.17)=TRUE, "Morning", IF(AND(AllDataApr[[#This Row],[Time]]&lt;0.75, AllDataApr[[#This Row],[Time]]&gt;=0.5)=TRUE, "Afternoon", IF(AND(AllDataApr[[#This Row],[Time]]&lt;1, AllDataApr[[#This Row],[Time]]&gt;=0.75)=TRUE, "Evening", "Night")))</f>
        <v>Afternoon</v>
      </c>
      <c r="G72" t="s">
        <v>20</v>
      </c>
      <c r="H72" t="str">
        <f>_xlfn.XLOOKUP(AllDataApr[[#This Row],[Location Name]], Locations[Row Labels],Locations[Group As])</f>
        <v>Hampton Lucy</v>
      </c>
      <c r="I72" t="str">
        <f>_xlfn.XLOOKUP(AllDataApr[[#This Row],[Site Name]],LocationsKey[Site Name],LocationsKey[Region])</f>
        <v>Stratford</v>
      </c>
      <c r="J72" t="str">
        <f>_xlfn.XLOOKUP(AllDataApr[[#This Row],[Site Name]],LocationsKey[Site Name], LocationsKey[Waterway])</f>
        <v>Avon</v>
      </c>
      <c r="K72" t="s">
        <v>27</v>
      </c>
      <c r="L72">
        <v>52.211680000000001</v>
      </c>
      <c r="M72">
        <v>-1.6244400000000001</v>
      </c>
      <c r="N72" t="s">
        <v>200</v>
      </c>
      <c r="O72">
        <v>834</v>
      </c>
      <c r="P72">
        <v>21.1</v>
      </c>
      <c r="Q72">
        <v>6</v>
      </c>
      <c r="R72" s="7" t="str">
        <f>IF(AllDataApr[[#This Row],[Nitrate (PPM)]]&gt;2, "Very high", IF(AllDataApr[[#This Row],[Nitrate (PPM)]]&gt;1, "High", IF(AllDataApr[[#This Row],[Nitrate (PPM)]]&gt;0.5, "Some evidence", IF(AllDataApr[[#This Row],[Nitrate (PPM)]]&gt;0, "No evidence", IF(AllDataApr[[#This Row],[Nitrate (PPM)]]=0, "")))))</f>
        <v>Very high</v>
      </c>
      <c r="S72">
        <v>0.53</v>
      </c>
      <c r="T72" s="7" t="str">
        <f>IF(AllDataApr[[#This Row],[Phosphate (PPM)]]&gt;0.5, "Very high", IF(AllDataApr[[#This Row],[Phosphate (PPM)]]&gt;0.1, "High", IF(AllDataApr[[#This Row],[Phosphate (PPM)]]&gt;0.05, "Some evidence", IF(AllDataApr[[#This Row],[Phosphate (PPM)]]=0, ""))))</f>
        <v>Very high</v>
      </c>
      <c r="U72">
        <v>0</v>
      </c>
    </row>
    <row r="73" spans="1:22" x14ac:dyDescent="0.3">
      <c r="A73" t="s">
        <v>831</v>
      </c>
      <c r="B73" s="2">
        <v>45172</v>
      </c>
      <c r="C73" s="2" t="str" cm="1">
        <f t="array" ref="C7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73">
        <f>YEAR(AllDataApr[[#This Row],[Date]])</f>
        <v>2023</v>
      </c>
      <c r="E73" s="1">
        <v>0.75</v>
      </c>
      <c r="F73" s="2" t="str">
        <f>IF(AND(AllDataApr[[#This Row],[Time]]&lt;0.5, AllDataApr[[#This Row],[Time]]&gt;0.17)=TRUE, "Morning", IF(AND(AllDataApr[[#This Row],[Time]]&lt;0.75, AllDataApr[[#This Row],[Time]]&gt;=0.5)=TRUE, "Afternoon", IF(AND(AllDataApr[[#This Row],[Time]]&lt;1, AllDataApr[[#This Row],[Time]]&gt;=0.75)=TRUE, "Evening", "Night")))</f>
        <v>Evening</v>
      </c>
      <c r="G73" t="s">
        <v>35</v>
      </c>
      <c r="H73" t="str">
        <f>_xlfn.XLOOKUP(AllDataApr[[#This Row],[Location Name]], Locations[Row Labels],Locations[Group As])</f>
        <v>Welford Boat Station</v>
      </c>
      <c r="I73" t="str">
        <f>_xlfn.XLOOKUP(AllDataApr[[#This Row],[Site Name]],LocationsKey[Site Name],LocationsKey[Region])</f>
        <v>Stratford</v>
      </c>
      <c r="J73" t="str">
        <f>_xlfn.XLOOKUP(AllDataApr[[#This Row],[Site Name]],LocationsKey[Site Name], LocationsKey[Waterway])</f>
        <v>Avon</v>
      </c>
      <c r="K73" t="s">
        <v>22</v>
      </c>
      <c r="L73">
        <v>52.175240000000002</v>
      </c>
      <c r="M73">
        <v>-1.7918700000000001</v>
      </c>
      <c r="N73" t="s">
        <v>18</v>
      </c>
      <c r="O73">
        <v>992</v>
      </c>
      <c r="P73">
        <v>20.100000000000001</v>
      </c>
      <c r="Q73">
        <v>4.5</v>
      </c>
      <c r="R73" s="7" t="str">
        <f>IF(AllDataApr[[#This Row],[Nitrate (PPM)]]&gt;2, "Very high", IF(AllDataApr[[#This Row],[Nitrate (PPM)]]&gt;1, "High", IF(AllDataApr[[#This Row],[Nitrate (PPM)]]&gt;0.5, "Some evidence", IF(AllDataApr[[#This Row],[Nitrate (PPM)]]&gt;0, "No evidence", IF(AllDataApr[[#This Row],[Nitrate (PPM)]]=0, "")))))</f>
        <v>Very high</v>
      </c>
      <c r="S73">
        <v>0.54</v>
      </c>
      <c r="T73" s="7" t="str">
        <f>IF(AllDataApr[[#This Row],[Phosphate (PPM)]]&gt;0.5, "Very high", IF(AllDataApr[[#This Row],[Phosphate (PPM)]]&gt;0.1, "High", IF(AllDataApr[[#This Row],[Phosphate (PPM)]]&gt;0.05, "Some evidence", IF(AllDataApr[[#This Row],[Phosphate (PPM)]]=0, ""))))</f>
        <v>Very high</v>
      </c>
      <c r="U73">
        <v>0</v>
      </c>
      <c r="V73" t="s">
        <v>65</v>
      </c>
    </row>
    <row r="74" spans="1:22" x14ac:dyDescent="0.3">
      <c r="A74" t="s">
        <v>830</v>
      </c>
      <c r="B74" s="2">
        <v>45173</v>
      </c>
      <c r="C74" s="2" t="str" cm="1">
        <f t="array" ref="C7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74">
        <f>YEAR(AllDataApr[[#This Row],[Date]])</f>
        <v>2023</v>
      </c>
      <c r="E74" s="1">
        <v>0.71180555555555558</v>
      </c>
      <c r="F74" s="2" t="str">
        <f>IF(AND(AllDataApr[[#This Row],[Time]]&lt;0.5, AllDataApr[[#This Row],[Time]]&gt;0.17)=TRUE, "Morning", IF(AND(AllDataApr[[#This Row],[Time]]&lt;0.75, AllDataApr[[#This Row],[Time]]&gt;=0.5)=TRUE, "Afternoon", IF(AND(AllDataApr[[#This Row],[Time]]&lt;1, AllDataApr[[#This Row],[Time]]&gt;=0.75)=TRUE, "Evening", "Night")))</f>
        <v>Afternoon</v>
      </c>
      <c r="G74" t="s">
        <v>20</v>
      </c>
      <c r="H74" t="str">
        <f>_xlfn.XLOOKUP(AllDataApr[[#This Row],[Location Name]], Locations[Row Labels],Locations[Group As])</f>
        <v>Weston-on-Avon</v>
      </c>
      <c r="I74" t="str">
        <f>_xlfn.XLOOKUP(AllDataApr[[#This Row],[Site Name]],LocationsKey[Site Name],LocationsKey[Region])</f>
        <v>Stratford</v>
      </c>
      <c r="J74" t="str">
        <f>_xlfn.XLOOKUP(AllDataApr[[#This Row],[Site Name]],LocationsKey[Site Name], LocationsKey[Waterway])</f>
        <v>Avon</v>
      </c>
      <c r="K74" t="s">
        <v>23</v>
      </c>
      <c r="L74">
        <v>52.167430000000003</v>
      </c>
      <c r="M74">
        <v>-1.7744800000000001</v>
      </c>
      <c r="N74" t="s">
        <v>18</v>
      </c>
      <c r="O74">
        <v>976</v>
      </c>
      <c r="P74">
        <v>21.6</v>
      </c>
      <c r="Q74">
        <v>4</v>
      </c>
      <c r="R74" s="7" t="str">
        <f>IF(AllDataApr[[#This Row],[Nitrate (PPM)]]&gt;2, "Very high", IF(AllDataApr[[#This Row],[Nitrate (PPM)]]&gt;1, "High", IF(AllDataApr[[#This Row],[Nitrate (PPM)]]&gt;0.5, "Some evidence", IF(AllDataApr[[#This Row],[Nitrate (PPM)]]&gt;0, "No evidence", IF(AllDataApr[[#This Row],[Nitrate (PPM)]]=0, "")))))</f>
        <v>Very high</v>
      </c>
      <c r="S74">
        <v>0.7</v>
      </c>
      <c r="T74" s="7" t="str">
        <f>IF(AllDataApr[[#This Row],[Phosphate (PPM)]]&gt;0.5, "Very high", IF(AllDataApr[[#This Row],[Phosphate (PPM)]]&gt;0.1, "High", IF(AllDataApr[[#This Row],[Phosphate (PPM)]]&gt;0.05, "Some evidence", IF(AllDataApr[[#This Row],[Phosphate (PPM)]]=0, ""))))</f>
        <v>Very high</v>
      </c>
      <c r="U74">
        <v>0</v>
      </c>
    </row>
    <row r="75" spans="1:22" x14ac:dyDescent="0.3">
      <c r="A75" t="s">
        <v>829</v>
      </c>
      <c r="B75" s="2">
        <v>45175</v>
      </c>
      <c r="C75" s="2" t="str" cm="1">
        <f t="array" ref="C7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75">
        <f>YEAR(AllDataApr[[#This Row],[Date]])</f>
        <v>2023</v>
      </c>
      <c r="E75" s="1">
        <v>0.65694444444444444</v>
      </c>
      <c r="F75" s="2" t="str">
        <f>IF(AND(AllDataApr[[#This Row],[Time]]&lt;0.5, AllDataApr[[#This Row],[Time]]&gt;0.17)=TRUE, "Morning", IF(AND(AllDataApr[[#This Row],[Time]]&lt;0.75, AllDataApr[[#This Row],[Time]]&gt;=0.5)=TRUE, "Afternoon", IF(AND(AllDataApr[[#This Row],[Time]]&lt;1, AllDataApr[[#This Row],[Time]]&gt;=0.75)=TRUE, "Evening", "Night")))</f>
        <v>Afternoon</v>
      </c>
      <c r="G75" t="s">
        <v>57</v>
      </c>
      <c r="H75" t="str">
        <f>_xlfn.XLOOKUP(AllDataApr[[#This Row],[Location Name]], Locations[Row Labels],Locations[Group As])</f>
        <v>Stour Newbold Mill</v>
      </c>
      <c r="I75" t="str">
        <f>_xlfn.XLOOKUP(AllDataApr[[#This Row],[Site Name]],LocationsKey[Site Name],LocationsKey[Region])</f>
        <v>Shipston</v>
      </c>
      <c r="J75" t="str">
        <f>_xlfn.XLOOKUP(AllDataApr[[#This Row],[Site Name]],LocationsKey[Site Name], LocationsKey[Waterway])</f>
        <v>Stour</v>
      </c>
      <c r="K75" t="s">
        <v>66</v>
      </c>
      <c r="L75">
        <v>52.113444999999999</v>
      </c>
      <c r="M75">
        <v>-1.6333759999999999</v>
      </c>
      <c r="N75" t="s">
        <v>18</v>
      </c>
      <c r="O75">
        <v>694</v>
      </c>
      <c r="P75">
        <v>19.7</v>
      </c>
      <c r="Q75">
        <v>10</v>
      </c>
      <c r="R75" s="7" t="str">
        <f>IF(AllDataApr[[#This Row],[Nitrate (PPM)]]&gt;2, "Very high", IF(AllDataApr[[#This Row],[Nitrate (PPM)]]&gt;1, "High", IF(AllDataApr[[#This Row],[Nitrate (PPM)]]&gt;0.5, "Some evidence", IF(AllDataApr[[#This Row],[Nitrate (PPM)]]&gt;0, "No evidence", IF(AllDataApr[[#This Row],[Nitrate (PPM)]]=0, "")))))</f>
        <v>Very high</v>
      </c>
      <c r="S75">
        <v>0.56999999999999995</v>
      </c>
      <c r="T75" s="7" t="str">
        <f>IF(AllDataApr[[#This Row],[Phosphate (PPM)]]&gt;0.5, "Very high", IF(AllDataApr[[#This Row],[Phosphate (PPM)]]&gt;0.1, "High", IF(AllDataApr[[#This Row],[Phosphate (PPM)]]&gt;0.05, "Some evidence", IF(AllDataApr[[#This Row],[Phosphate (PPM)]]=0, ""))))</f>
        <v>Very high</v>
      </c>
      <c r="U75">
        <v>2</v>
      </c>
      <c r="V75" t="s">
        <v>67</v>
      </c>
    </row>
    <row r="76" spans="1:22" x14ac:dyDescent="0.3">
      <c r="A76" t="s">
        <v>827</v>
      </c>
      <c r="B76" s="2">
        <v>45176</v>
      </c>
      <c r="C76" s="2" t="str" cm="1">
        <f t="array" ref="C7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76">
        <f>YEAR(AllDataApr[[#This Row],[Date]])</f>
        <v>2023</v>
      </c>
      <c r="E76" s="1">
        <v>0.46527777777777779</v>
      </c>
      <c r="F76" s="2" t="str">
        <f>IF(AND(AllDataApr[[#This Row],[Time]]&lt;0.5, AllDataApr[[#This Row],[Time]]&gt;0.17)=TRUE, "Morning", IF(AND(AllDataApr[[#This Row],[Time]]&lt;0.75, AllDataApr[[#This Row],[Time]]&gt;=0.5)=TRUE, "Afternoon", IF(AND(AllDataApr[[#This Row],[Time]]&lt;1, AllDataApr[[#This Row],[Time]]&gt;=0.75)=TRUE, "Evening", "Night")))</f>
        <v>Morning</v>
      </c>
      <c r="G76" t="s">
        <v>46</v>
      </c>
      <c r="H76" t="str">
        <f>_xlfn.XLOOKUP(AllDataApr[[#This Row],[Location Name]], Locations[Row Labels],Locations[Group As])</f>
        <v>Swilgate</v>
      </c>
      <c r="I76" t="str">
        <f>_xlfn.XLOOKUP(AllDataApr[[#This Row],[Site Name]],LocationsKey[Site Name],LocationsKey[Region])</f>
        <v>Tewkesbury</v>
      </c>
      <c r="J76" t="str">
        <f>_xlfn.XLOOKUP(AllDataApr[[#This Row],[Site Name]],LocationsKey[Site Name], LocationsKey[Waterway])</f>
        <v>Swilgate</v>
      </c>
      <c r="K76" t="s">
        <v>47</v>
      </c>
      <c r="N76" t="s">
        <v>200</v>
      </c>
      <c r="O76">
        <v>111</v>
      </c>
      <c r="P76">
        <v>20.2</v>
      </c>
      <c r="Q76">
        <v>8</v>
      </c>
      <c r="R76" s="7" t="str">
        <f>IF(AllDataApr[[#This Row],[Nitrate (PPM)]]&gt;2, "Very high", IF(AllDataApr[[#This Row],[Nitrate (PPM)]]&gt;1, "High", IF(AllDataApr[[#This Row],[Nitrate (PPM)]]&gt;0.5, "Some evidence", IF(AllDataApr[[#This Row],[Nitrate (PPM)]]&gt;0, "No evidence", IF(AllDataApr[[#This Row],[Nitrate (PPM)]]=0, "")))))</f>
        <v>Very high</v>
      </c>
      <c r="T76" s="7" t="str">
        <f>IF(AllDataApr[[#This Row],[Phosphate (PPM)]]&gt;0.5, "Very high", IF(AllDataApr[[#This Row],[Phosphate (PPM)]]&gt;0.1, "High", IF(AllDataApr[[#This Row],[Phosphate (PPM)]]&gt;0.05, "Some evidence", IF(AllDataApr[[#This Row],[Phosphate (PPM)]]=0, ""))))</f>
        <v/>
      </c>
      <c r="U76">
        <v>0</v>
      </c>
      <c r="V76" t="s">
        <v>68</v>
      </c>
    </row>
    <row r="77" spans="1:22" x14ac:dyDescent="0.3">
      <c r="A77" t="s">
        <v>828</v>
      </c>
      <c r="B77" s="2">
        <v>45176</v>
      </c>
      <c r="C77" s="2" t="str" cm="1">
        <f t="array" ref="C7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77">
        <f>YEAR(AllDataApr[[#This Row],[Date]])</f>
        <v>2023</v>
      </c>
      <c r="E77" s="1">
        <v>0.55347222222222225</v>
      </c>
      <c r="F77" s="2" t="str">
        <f>IF(AND(AllDataApr[[#This Row],[Time]]&lt;0.5, AllDataApr[[#This Row],[Time]]&gt;0.17)=TRUE, "Morning", IF(AND(AllDataApr[[#This Row],[Time]]&lt;0.75, AllDataApr[[#This Row],[Time]]&gt;=0.5)=TRUE, "Afternoon", IF(AND(AllDataApr[[#This Row],[Time]]&lt;1, AllDataApr[[#This Row],[Time]]&gt;=0.75)=TRUE, "Evening", "Night")))</f>
        <v>Afternoon</v>
      </c>
      <c r="G77" t="s">
        <v>59</v>
      </c>
      <c r="H77" t="str">
        <f>_xlfn.XLOOKUP(AllDataApr[[#This Row],[Location Name]], Locations[Row Labels],Locations[Group As])</f>
        <v>Preston-on-Stour River Bridge</v>
      </c>
      <c r="I77" t="str">
        <f>_xlfn.XLOOKUP(AllDataApr[[#This Row],[Site Name]],LocationsKey[Site Name],LocationsKey[Region])</f>
        <v>Stratford</v>
      </c>
      <c r="J77" t="str">
        <f>_xlfn.XLOOKUP(AllDataApr[[#This Row],[Site Name]],LocationsKey[Site Name], LocationsKey[Waterway])</f>
        <v>Stour</v>
      </c>
      <c r="K77" t="s">
        <v>69</v>
      </c>
      <c r="L77">
        <v>52.146562000000003</v>
      </c>
      <c r="M77">
        <v>-1.6991529999999999</v>
      </c>
      <c r="N77" t="s">
        <v>18</v>
      </c>
      <c r="O77">
        <v>712</v>
      </c>
      <c r="P77">
        <v>21.4</v>
      </c>
      <c r="Q77">
        <v>5</v>
      </c>
      <c r="R77" s="7" t="str">
        <f>IF(AllDataApr[[#This Row],[Nitrate (PPM)]]&gt;2, "Very high", IF(AllDataApr[[#This Row],[Nitrate (PPM)]]&gt;1, "High", IF(AllDataApr[[#This Row],[Nitrate (PPM)]]&gt;0.5, "Some evidence", IF(AllDataApr[[#This Row],[Nitrate (PPM)]]&gt;0, "No evidence", IF(AllDataApr[[#This Row],[Nitrate (PPM)]]=0, "")))))</f>
        <v>Very high</v>
      </c>
      <c r="S77">
        <v>0.6</v>
      </c>
      <c r="T77" s="7" t="str">
        <f>IF(AllDataApr[[#This Row],[Phosphate (PPM)]]&gt;0.5, "Very high", IF(AllDataApr[[#This Row],[Phosphate (PPM)]]&gt;0.1, "High", IF(AllDataApr[[#This Row],[Phosphate (PPM)]]&gt;0.05, "Some evidence", IF(AllDataApr[[#This Row],[Phosphate (PPM)]]=0, ""))))</f>
        <v>Very high</v>
      </c>
      <c r="U77">
        <v>4</v>
      </c>
      <c r="V77" t="s">
        <v>70</v>
      </c>
    </row>
    <row r="78" spans="1:22" x14ac:dyDescent="0.3">
      <c r="A78" t="s">
        <v>817</v>
      </c>
      <c r="B78" s="2">
        <v>45178</v>
      </c>
      <c r="C78" s="2" t="str" cm="1">
        <f t="array" ref="C7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78">
        <f>YEAR(AllDataApr[[#This Row],[Date]])</f>
        <v>2023</v>
      </c>
      <c r="E78" s="1">
        <v>0.46875</v>
      </c>
      <c r="F78" s="2" t="str">
        <f>IF(AND(AllDataApr[[#This Row],[Time]]&lt;0.5, AllDataApr[[#This Row],[Time]]&gt;0.17)=TRUE, "Morning", IF(AND(AllDataApr[[#This Row],[Time]]&lt;0.75, AllDataApr[[#This Row],[Time]]&gt;=0.5)=TRUE, "Afternoon", IF(AND(AllDataApr[[#This Row],[Time]]&lt;1, AllDataApr[[#This Row],[Time]]&gt;=0.75)=TRUE, "Evening", "Night")))</f>
        <v>Morning</v>
      </c>
      <c r="G78" t="s">
        <v>48</v>
      </c>
      <c r="H78" t="str">
        <f>_xlfn.XLOOKUP(AllDataApr[[#This Row],[Location Name]], Locations[Row Labels],Locations[Group As])</f>
        <v>Avonbank Drive</v>
      </c>
      <c r="I78" t="str">
        <f>_xlfn.XLOOKUP(AllDataApr[[#This Row],[Site Name]],LocationsKey[Site Name],LocationsKey[Region])</f>
        <v>Stratford</v>
      </c>
      <c r="J78" t="str">
        <f>_xlfn.XLOOKUP(AllDataApr[[#This Row],[Site Name]],LocationsKey[Site Name], LocationsKey[Waterway])</f>
        <v>Avon</v>
      </c>
      <c r="K78" t="s">
        <v>71</v>
      </c>
      <c r="N78" t="s">
        <v>42</v>
      </c>
      <c r="O78">
        <v>1030</v>
      </c>
      <c r="P78">
        <v>22.7</v>
      </c>
      <c r="Q78">
        <v>15</v>
      </c>
      <c r="R78" s="7" t="str">
        <f>IF(AllDataApr[[#This Row],[Nitrate (PPM)]]&gt;2, "Very high", IF(AllDataApr[[#This Row],[Nitrate (PPM)]]&gt;1, "High", IF(AllDataApr[[#This Row],[Nitrate (PPM)]]&gt;0.5, "Some evidence", IF(AllDataApr[[#This Row],[Nitrate (PPM)]]&gt;0, "No evidence", IF(AllDataApr[[#This Row],[Nitrate (PPM)]]=0, "")))))</f>
        <v>Very high</v>
      </c>
      <c r="S78">
        <v>0.67</v>
      </c>
      <c r="T78" s="7" t="str">
        <f>IF(AllDataApr[[#This Row],[Phosphate (PPM)]]&gt;0.5, "Very high", IF(AllDataApr[[#This Row],[Phosphate (PPM)]]&gt;0.1, "High", IF(AllDataApr[[#This Row],[Phosphate (PPM)]]&gt;0.05, "Some evidence", IF(AllDataApr[[#This Row],[Phosphate (PPM)]]=0, ""))))</f>
        <v>Very high</v>
      </c>
      <c r="U78">
        <v>1</v>
      </c>
    </row>
    <row r="79" spans="1:22" x14ac:dyDescent="0.3">
      <c r="A79" t="s">
        <v>818</v>
      </c>
      <c r="B79" s="2">
        <v>45178</v>
      </c>
      <c r="C79" s="2" t="str" cm="1">
        <f t="array" ref="C7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79">
        <f>YEAR(AllDataApr[[#This Row],[Date]])</f>
        <v>2023</v>
      </c>
      <c r="E79" s="1">
        <v>0.4861111111111111</v>
      </c>
      <c r="F79" s="2" t="str">
        <f>IF(AND(AllDataApr[[#This Row],[Time]]&lt;0.5, AllDataApr[[#This Row],[Time]]&gt;0.17)=TRUE, "Morning", IF(AND(AllDataApr[[#This Row],[Time]]&lt;0.75, AllDataApr[[#This Row],[Time]]&gt;=0.5)=TRUE, "Afternoon", IF(AND(AllDataApr[[#This Row],[Time]]&lt;1, AllDataApr[[#This Row],[Time]]&gt;=0.75)=TRUE, "Evening", "Night")))</f>
        <v>Morning</v>
      </c>
      <c r="G79" t="s">
        <v>48</v>
      </c>
      <c r="H79" t="str">
        <f>_xlfn.XLOOKUP(AllDataApr[[#This Row],[Location Name]], Locations[Row Labels],Locations[Group As])</f>
        <v>Pitch 16</v>
      </c>
      <c r="I79" t="str">
        <f>_xlfn.XLOOKUP(AllDataApr[[#This Row],[Site Name]],LocationsKey[Site Name],LocationsKey[Region])</f>
        <v>Stratford</v>
      </c>
      <c r="J79" t="str">
        <f>_xlfn.XLOOKUP(AllDataApr[[#This Row],[Site Name]],LocationsKey[Site Name], LocationsKey[Waterway])</f>
        <v>Avon</v>
      </c>
      <c r="K79" t="s">
        <v>39</v>
      </c>
      <c r="N79" t="s">
        <v>18</v>
      </c>
      <c r="O79">
        <v>1010</v>
      </c>
      <c r="P79">
        <v>24.4</v>
      </c>
      <c r="Q79">
        <v>15</v>
      </c>
      <c r="R79" s="7" t="str">
        <f>IF(AllDataApr[[#This Row],[Nitrate (PPM)]]&gt;2, "Very high", IF(AllDataApr[[#This Row],[Nitrate (PPM)]]&gt;1, "High", IF(AllDataApr[[#This Row],[Nitrate (PPM)]]&gt;0.5, "Some evidence", IF(AllDataApr[[#This Row],[Nitrate (PPM)]]&gt;0, "No evidence", IF(AllDataApr[[#This Row],[Nitrate (PPM)]]=0, "")))))</f>
        <v>Very high</v>
      </c>
      <c r="S79">
        <v>0.69</v>
      </c>
      <c r="T79" s="7" t="str">
        <f>IF(AllDataApr[[#This Row],[Phosphate (PPM)]]&gt;0.5, "Very high", IF(AllDataApr[[#This Row],[Phosphate (PPM)]]&gt;0.1, "High", IF(AllDataApr[[#This Row],[Phosphate (PPM)]]&gt;0.05, "Some evidence", IF(AllDataApr[[#This Row],[Phosphate (PPM)]]=0, ""))))</f>
        <v>Very high</v>
      </c>
      <c r="U79">
        <v>1</v>
      </c>
    </row>
    <row r="80" spans="1:22" x14ac:dyDescent="0.3">
      <c r="A80" t="s">
        <v>824</v>
      </c>
      <c r="B80" s="2">
        <v>45178</v>
      </c>
      <c r="C80" s="2" t="str" cm="1">
        <f t="array" ref="C8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80">
        <f>YEAR(AllDataApr[[#This Row],[Date]])</f>
        <v>2023</v>
      </c>
      <c r="E80" s="1">
        <v>0.58333333333333337</v>
      </c>
      <c r="F80" s="2" t="str">
        <f>IF(AND(AllDataApr[[#This Row],[Time]]&lt;0.5, AllDataApr[[#This Row],[Time]]&gt;0.17)=TRUE, "Morning", IF(AND(AllDataApr[[#This Row],[Time]]&lt;0.75, AllDataApr[[#This Row],[Time]]&gt;=0.5)=TRUE, "Afternoon", IF(AND(AllDataApr[[#This Row],[Time]]&lt;1, AllDataApr[[#This Row],[Time]]&gt;=0.75)=TRUE, "Evening", "Night")))</f>
        <v>Afternoon</v>
      </c>
      <c r="G80" t="s">
        <v>52</v>
      </c>
      <c r="H80" t="str">
        <f>_xlfn.XLOOKUP(AllDataApr[[#This Row],[Location Name]], Locations[Row Labels],Locations[Group As])</f>
        <v>Carrant Bredon Rd</v>
      </c>
      <c r="I80" t="str">
        <f>_xlfn.XLOOKUP(AllDataApr[[#This Row],[Site Name]],LocationsKey[Site Name],LocationsKey[Region])</f>
        <v>Tewkesbury</v>
      </c>
      <c r="J80" t="str">
        <f>_xlfn.XLOOKUP(AllDataApr[[#This Row],[Site Name]],LocationsKey[Site Name], LocationsKey[Waterway])</f>
        <v>Carrant</v>
      </c>
      <c r="K80" t="s">
        <v>53</v>
      </c>
      <c r="N80" t="s">
        <v>200</v>
      </c>
      <c r="O80">
        <v>684</v>
      </c>
      <c r="P80">
        <v>21.3</v>
      </c>
      <c r="Q80">
        <v>8</v>
      </c>
      <c r="R80" s="7" t="str">
        <f>IF(AllDataApr[[#This Row],[Nitrate (PPM)]]&gt;2, "Very high", IF(AllDataApr[[#This Row],[Nitrate (PPM)]]&gt;1, "High", IF(AllDataApr[[#This Row],[Nitrate (PPM)]]&gt;0.5, "Some evidence", IF(AllDataApr[[#This Row],[Nitrate (PPM)]]&gt;0, "No evidence", IF(AllDataApr[[#This Row],[Nitrate (PPM)]]=0, "")))))</f>
        <v>Very high</v>
      </c>
      <c r="S80">
        <v>0.6</v>
      </c>
      <c r="T80" s="7" t="str">
        <f>IF(AllDataApr[[#This Row],[Phosphate (PPM)]]&gt;0.5, "Very high", IF(AllDataApr[[#This Row],[Phosphate (PPM)]]&gt;0.1, "High", IF(AllDataApr[[#This Row],[Phosphate (PPM)]]&gt;0.05, "Some evidence", IF(AllDataApr[[#This Row],[Phosphate (PPM)]]=0, ""))))</f>
        <v>Very high</v>
      </c>
      <c r="U80">
        <v>0</v>
      </c>
    </row>
    <row r="81" spans="1:22" x14ac:dyDescent="0.3">
      <c r="A81" t="s">
        <v>812</v>
      </c>
      <c r="B81" s="2">
        <v>45179</v>
      </c>
      <c r="C81" s="2" t="str" cm="1">
        <f t="array" ref="C8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81">
        <f>YEAR(AllDataApr[[#This Row],[Date]])</f>
        <v>2023</v>
      </c>
      <c r="E81" s="1">
        <v>0.4861111111111111</v>
      </c>
      <c r="F81" s="2" t="str">
        <f>IF(AND(AllDataApr[[#This Row],[Time]]&lt;0.5, AllDataApr[[#This Row],[Time]]&gt;0.17)=TRUE, "Morning", IF(AND(AllDataApr[[#This Row],[Time]]&lt;0.75, AllDataApr[[#This Row],[Time]]&gt;=0.5)=TRUE, "Afternoon", IF(AND(AllDataApr[[#This Row],[Time]]&lt;1, AllDataApr[[#This Row],[Time]]&gt;=0.75)=TRUE, "Evening", "Night")))</f>
        <v>Morning</v>
      </c>
      <c r="G81" t="s">
        <v>20</v>
      </c>
      <c r="H81" t="str">
        <f>_xlfn.XLOOKUP(AllDataApr[[#This Row],[Location Name]], Locations[Row Labels],Locations[Group As])</f>
        <v>Hampton Wood</v>
      </c>
      <c r="I81" t="str">
        <f>_xlfn.XLOOKUP(AllDataApr[[#This Row],[Site Name]],LocationsKey[Site Name],LocationsKey[Region])</f>
        <v>Stratford</v>
      </c>
      <c r="J81" t="str">
        <f>_xlfn.XLOOKUP(AllDataApr[[#This Row],[Site Name]],LocationsKey[Site Name], LocationsKey[Waterway])</f>
        <v>Avon</v>
      </c>
      <c r="K81" t="s">
        <v>25</v>
      </c>
      <c r="L81">
        <v>52.238149999999997</v>
      </c>
      <c r="M81">
        <v>-1.6245799999999999</v>
      </c>
      <c r="N81" t="s">
        <v>18</v>
      </c>
      <c r="O81">
        <v>984</v>
      </c>
      <c r="P81">
        <v>22.3</v>
      </c>
      <c r="Q81">
        <v>6</v>
      </c>
      <c r="R81" s="7" t="str">
        <f>IF(AllDataApr[[#This Row],[Nitrate (PPM)]]&gt;2, "Very high", IF(AllDataApr[[#This Row],[Nitrate (PPM)]]&gt;1, "High", IF(AllDataApr[[#This Row],[Nitrate (PPM)]]&gt;0.5, "Some evidence", IF(AllDataApr[[#This Row],[Nitrate (PPM)]]&gt;0, "No evidence", IF(AllDataApr[[#This Row],[Nitrate (PPM)]]=0, "")))))</f>
        <v>Very high</v>
      </c>
      <c r="S81">
        <v>0.5</v>
      </c>
      <c r="T81" s="7" t="str">
        <f>IF(AllDataApr[[#This Row],[Phosphate (PPM)]]&gt;0.5, "Very high", IF(AllDataApr[[#This Row],[Phosphate (PPM)]]&gt;0.1, "High", IF(AllDataApr[[#This Row],[Phosphate (PPM)]]&gt;0.05, "Some evidence", IF(AllDataApr[[#This Row],[Phosphate (PPM)]]=0, ""))))</f>
        <v>High</v>
      </c>
      <c r="U81">
        <v>0</v>
      </c>
    </row>
    <row r="82" spans="1:22" x14ac:dyDescent="0.3">
      <c r="A82" t="s">
        <v>810</v>
      </c>
      <c r="B82" s="2">
        <v>45179</v>
      </c>
      <c r="C82" s="2" t="str" cm="1">
        <f t="array" ref="C8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82">
        <f>YEAR(AllDataApr[[#This Row],[Date]])</f>
        <v>2023</v>
      </c>
      <c r="E82" s="1">
        <v>0.52083333333333337</v>
      </c>
      <c r="F82" s="2" t="str">
        <f>IF(AND(AllDataApr[[#This Row],[Time]]&lt;0.5, AllDataApr[[#This Row],[Time]]&gt;0.17)=TRUE, "Morning", IF(AND(AllDataApr[[#This Row],[Time]]&lt;0.75, AllDataApr[[#This Row],[Time]]&gt;=0.5)=TRUE, "Afternoon", IF(AND(AllDataApr[[#This Row],[Time]]&lt;1, AllDataApr[[#This Row],[Time]]&gt;=0.75)=TRUE, "Evening", "Night")))</f>
        <v>Afternoon</v>
      </c>
      <c r="G82" t="s">
        <v>20</v>
      </c>
      <c r="H82" t="str">
        <f>_xlfn.XLOOKUP(AllDataApr[[#This Row],[Location Name]], Locations[Row Labels],Locations[Group As])</f>
        <v>Hampton Lucy</v>
      </c>
      <c r="I82" t="str">
        <f>_xlfn.XLOOKUP(AllDataApr[[#This Row],[Site Name]],LocationsKey[Site Name],LocationsKey[Region])</f>
        <v>Stratford</v>
      </c>
      <c r="J82" t="str">
        <f>_xlfn.XLOOKUP(AllDataApr[[#This Row],[Site Name]],LocationsKey[Site Name], LocationsKey[Waterway])</f>
        <v>Avon</v>
      </c>
      <c r="K82" t="s">
        <v>27</v>
      </c>
      <c r="L82">
        <v>52.211680000000001</v>
      </c>
      <c r="M82">
        <v>-1.6244400000000001</v>
      </c>
      <c r="N82" t="s">
        <v>200</v>
      </c>
      <c r="O82">
        <v>964</v>
      </c>
      <c r="P82">
        <v>21.6</v>
      </c>
      <c r="Q82">
        <v>7</v>
      </c>
      <c r="R82" s="7" t="str">
        <f>IF(AllDataApr[[#This Row],[Nitrate (PPM)]]&gt;2, "Very high", IF(AllDataApr[[#This Row],[Nitrate (PPM)]]&gt;1, "High", IF(AllDataApr[[#This Row],[Nitrate (PPM)]]&gt;0.5, "Some evidence", IF(AllDataApr[[#This Row],[Nitrate (PPM)]]&gt;0, "No evidence", IF(AllDataApr[[#This Row],[Nitrate (PPM)]]=0, "")))))</f>
        <v>Very high</v>
      </c>
      <c r="S82">
        <v>0.69</v>
      </c>
      <c r="T82" s="7" t="str">
        <f>IF(AllDataApr[[#This Row],[Phosphate (PPM)]]&gt;0.5, "Very high", IF(AllDataApr[[#This Row],[Phosphate (PPM)]]&gt;0.1, "High", IF(AllDataApr[[#This Row],[Phosphate (PPM)]]&gt;0.05, "Some evidence", IF(AllDataApr[[#This Row],[Phosphate (PPM)]]=0, ""))))</f>
        <v>Very high</v>
      </c>
      <c r="U82">
        <v>0</v>
      </c>
    </row>
    <row r="83" spans="1:22" x14ac:dyDescent="0.3">
      <c r="A83" s="11" t="s">
        <v>826</v>
      </c>
      <c r="B83" s="2">
        <v>45179</v>
      </c>
      <c r="C83" s="2" t="str" cm="1">
        <f t="array" ref="C8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83">
        <f>YEAR(AllDataApr[[#This Row],[Date]])</f>
        <v>2023</v>
      </c>
      <c r="E83" s="1">
        <v>0.75486111111111109</v>
      </c>
      <c r="F83" s="2" t="str">
        <f>IF(AND(AllDataApr[[#This Row],[Time]]&lt;0.5, AllDataApr[[#This Row],[Time]]&gt;0.17)=TRUE, "Morning", IF(AND(AllDataApr[[#This Row],[Time]]&lt;0.75, AllDataApr[[#This Row],[Time]]&gt;=0.5)=TRUE, "Afternoon", IF(AND(AllDataApr[[#This Row],[Time]]&lt;1, AllDataApr[[#This Row],[Time]]&gt;=0.75)=TRUE, "Evening", "Night")))</f>
        <v>Evening</v>
      </c>
      <c r="G83" t="s">
        <v>11</v>
      </c>
      <c r="H83" t="str">
        <f>_xlfn.XLOOKUP(AllDataApr[[#This Row],[Location Name]], Locations[Row Labels],Locations[Group As])</f>
        <v>Abbey Mill</v>
      </c>
      <c r="I83" t="str">
        <f>_xlfn.XLOOKUP(AllDataApr[[#This Row],[Site Name]],LocationsKey[Site Name],LocationsKey[Region])</f>
        <v>Tewkesbury</v>
      </c>
      <c r="J83" t="str">
        <f>_xlfn.XLOOKUP(AllDataApr[[#This Row],[Site Name]],LocationsKey[Site Name], LocationsKey[Waterway])</f>
        <v>Avon</v>
      </c>
      <c r="K83" t="s">
        <v>13</v>
      </c>
      <c r="L83">
        <v>51.99145</v>
      </c>
      <c r="M83">
        <v>-2.1628319999999999</v>
      </c>
      <c r="N83" t="s">
        <v>200</v>
      </c>
      <c r="O83">
        <v>1020</v>
      </c>
      <c r="P83">
        <v>23.3</v>
      </c>
      <c r="Q83">
        <v>10</v>
      </c>
      <c r="R83" s="7" t="str">
        <f>IF(AllDataApr[[#This Row],[Nitrate (PPM)]]&gt;2, "Very high", IF(AllDataApr[[#This Row],[Nitrate (PPM)]]&gt;1, "High", IF(AllDataApr[[#This Row],[Nitrate (PPM)]]&gt;0.5, "Some evidence", IF(AllDataApr[[#This Row],[Nitrate (PPM)]]&gt;0, "No evidence", IF(AllDataApr[[#This Row],[Nitrate (PPM)]]=0, "")))))</f>
        <v>Very high</v>
      </c>
      <c r="S83">
        <v>0.97</v>
      </c>
      <c r="T83" s="7" t="str">
        <f>IF(AllDataApr[[#This Row],[Phosphate (PPM)]]&gt;0.5, "Very high", IF(AllDataApr[[#This Row],[Phosphate (PPM)]]&gt;0.1, "High", IF(AllDataApr[[#This Row],[Phosphate (PPM)]]&gt;0.05, "Some evidence", IF(AllDataApr[[#This Row],[Phosphate (PPM)]]=0, ""))))</f>
        <v>Very high</v>
      </c>
      <c r="U83">
        <v>0</v>
      </c>
    </row>
    <row r="84" spans="1:22" x14ac:dyDescent="0.3">
      <c r="A84" t="s">
        <v>823</v>
      </c>
      <c r="B84" s="2">
        <v>45180</v>
      </c>
      <c r="C84" s="2" t="str" cm="1">
        <f t="array" ref="C8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84">
        <f>YEAR(AllDataApr[[#This Row],[Date]])</f>
        <v>2023</v>
      </c>
      <c r="E84" s="1">
        <v>0.78472222222222221</v>
      </c>
      <c r="F84" s="2" t="str">
        <f>IF(AND(AllDataApr[[#This Row],[Time]]&lt;0.5, AllDataApr[[#This Row],[Time]]&gt;0.17)=TRUE, "Morning", IF(AND(AllDataApr[[#This Row],[Time]]&lt;0.75, AllDataApr[[#This Row],[Time]]&gt;=0.5)=TRUE, "Afternoon", IF(AND(AllDataApr[[#This Row],[Time]]&lt;1, AllDataApr[[#This Row],[Time]]&gt;=0.75)=TRUE, "Evening", "Night")))</f>
        <v>Evening</v>
      </c>
      <c r="G84" t="s">
        <v>11</v>
      </c>
      <c r="H84" t="str">
        <f>_xlfn.XLOOKUP(AllDataApr[[#This Row],[Location Name]], Locations[Row Labels],Locations[Group As])</f>
        <v>Stour Shipston Mill Bridge</v>
      </c>
      <c r="I84" t="str">
        <f>_xlfn.XLOOKUP(AllDataApr[[#This Row],[Site Name]],LocationsKey[Site Name],LocationsKey[Region])</f>
        <v>Shipston</v>
      </c>
      <c r="J84" t="str">
        <f>_xlfn.XLOOKUP(AllDataApr[[#This Row],[Site Name]],LocationsKey[Site Name], LocationsKey[Waterway])</f>
        <v>Stour</v>
      </c>
      <c r="K84" t="s">
        <v>73</v>
      </c>
      <c r="L84">
        <v>52.062027</v>
      </c>
      <c r="M84">
        <v>-1.6216390000000001</v>
      </c>
      <c r="N84" t="s">
        <v>200</v>
      </c>
      <c r="O84">
        <v>678</v>
      </c>
      <c r="P84">
        <v>20.100000000000001</v>
      </c>
      <c r="Q84">
        <v>4</v>
      </c>
      <c r="R84" s="7" t="str">
        <f>IF(AllDataApr[[#This Row],[Nitrate (PPM)]]&gt;2, "Very high", IF(AllDataApr[[#This Row],[Nitrate (PPM)]]&gt;1, "High", IF(AllDataApr[[#This Row],[Nitrate (PPM)]]&gt;0.5, "Some evidence", IF(AllDataApr[[#This Row],[Nitrate (PPM)]]&gt;0, "No evidence", IF(AllDataApr[[#This Row],[Nitrate (PPM)]]=0, "")))))</f>
        <v>Very high</v>
      </c>
      <c r="S84">
        <v>0.69</v>
      </c>
      <c r="T84" s="7" t="str">
        <f>IF(AllDataApr[[#This Row],[Phosphate (PPM)]]&gt;0.5, "Very high", IF(AllDataApr[[#This Row],[Phosphate (PPM)]]&gt;0.1, "High", IF(AllDataApr[[#This Row],[Phosphate (PPM)]]&gt;0.05, "Some evidence", IF(AllDataApr[[#This Row],[Phosphate (PPM)]]=0, ""))))</f>
        <v>Very high</v>
      </c>
      <c r="U84">
        <v>0</v>
      </c>
    </row>
    <row r="85" spans="1:22" x14ac:dyDescent="0.3">
      <c r="A85" t="s">
        <v>822</v>
      </c>
      <c r="B85" s="2">
        <v>45182</v>
      </c>
      <c r="C85" s="2" t="str" cm="1">
        <f t="array" ref="C8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85">
        <f>YEAR(AllDataApr[[#This Row],[Date]])</f>
        <v>2023</v>
      </c>
      <c r="E85" s="1">
        <v>0.67500000000000004</v>
      </c>
      <c r="F85" s="2" t="str">
        <f>IF(AND(AllDataApr[[#This Row],[Time]]&lt;0.5, AllDataApr[[#This Row],[Time]]&gt;0.17)=TRUE, "Morning", IF(AND(AllDataApr[[#This Row],[Time]]&lt;0.75, AllDataApr[[#This Row],[Time]]&gt;=0.5)=TRUE, "Afternoon", IF(AND(AllDataApr[[#This Row],[Time]]&lt;1, AllDataApr[[#This Row],[Time]]&gt;=0.75)=TRUE, "Evening", "Night")))</f>
        <v>Afternoon</v>
      </c>
      <c r="G85" t="s">
        <v>55</v>
      </c>
      <c r="H85" t="str">
        <f>_xlfn.XLOOKUP(AllDataApr[[#This Row],[Location Name]], Locations[Row Labels],Locations[Group As])</f>
        <v>Stour Newbold Mill</v>
      </c>
      <c r="I85" t="str">
        <f>_xlfn.XLOOKUP(AllDataApr[[#This Row],[Site Name]],LocationsKey[Site Name],LocationsKey[Region])</f>
        <v>Shipston</v>
      </c>
      <c r="J85" t="str">
        <f>_xlfn.XLOOKUP(AllDataApr[[#This Row],[Site Name]],LocationsKey[Site Name], LocationsKey[Waterway])</f>
        <v>Stour</v>
      </c>
      <c r="K85" t="s">
        <v>74</v>
      </c>
      <c r="L85">
        <v>52.113387000000003</v>
      </c>
      <c r="M85">
        <v>-1.6333120000000001</v>
      </c>
      <c r="N85" t="s">
        <v>75</v>
      </c>
      <c r="O85">
        <v>729</v>
      </c>
      <c r="P85">
        <v>17.7</v>
      </c>
      <c r="Q85">
        <v>5</v>
      </c>
      <c r="R85" s="7" t="str">
        <f>IF(AllDataApr[[#This Row],[Nitrate (PPM)]]&gt;2, "Very high", IF(AllDataApr[[#This Row],[Nitrate (PPM)]]&gt;1, "High", IF(AllDataApr[[#This Row],[Nitrate (PPM)]]&gt;0.5, "Some evidence", IF(AllDataApr[[#This Row],[Nitrate (PPM)]]&gt;0, "No evidence", IF(AllDataApr[[#This Row],[Nitrate (PPM)]]=0, "")))))</f>
        <v>Very high</v>
      </c>
      <c r="S85">
        <v>0.78</v>
      </c>
      <c r="T85" s="7" t="str">
        <f>IF(AllDataApr[[#This Row],[Phosphate (PPM)]]&gt;0.5, "Very high", IF(AllDataApr[[#This Row],[Phosphate (PPM)]]&gt;0.1, "High", IF(AllDataApr[[#This Row],[Phosphate (PPM)]]&gt;0.05, "Some evidence", IF(AllDataApr[[#This Row],[Phosphate (PPM)]]=0, ""))))</f>
        <v>Very high</v>
      </c>
      <c r="U85">
        <v>2.1</v>
      </c>
      <c r="V85" t="s">
        <v>76</v>
      </c>
    </row>
    <row r="86" spans="1:22" x14ac:dyDescent="0.3">
      <c r="A86" t="s">
        <v>821</v>
      </c>
      <c r="B86" s="2">
        <v>45183</v>
      </c>
      <c r="C86" s="2" t="str" cm="1">
        <f t="array" ref="C8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86">
        <f>YEAR(AllDataApr[[#This Row],[Date]])</f>
        <v>2023</v>
      </c>
      <c r="E86" s="1">
        <v>0.46736111111111112</v>
      </c>
      <c r="F86" s="2" t="str">
        <f>IF(AND(AllDataApr[[#This Row],[Time]]&lt;0.5, AllDataApr[[#This Row],[Time]]&gt;0.17)=TRUE, "Morning", IF(AND(AllDataApr[[#This Row],[Time]]&lt;0.75, AllDataApr[[#This Row],[Time]]&gt;=0.5)=TRUE, "Afternoon", IF(AND(AllDataApr[[#This Row],[Time]]&lt;1, AllDataApr[[#This Row],[Time]]&gt;=0.75)=TRUE, "Evening", "Night")))</f>
        <v>Morning</v>
      </c>
      <c r="G86" t="s">
        <v>55</v>
      </c>
      <c r="H86" t="str">
        <f>_xlfn.XLOOKUP(AllDataApr[[#This Row],[Location Name]], Locations[Row Labels],Locations[Group As])</f>
        <v>Stour Shipston Mill Bridge</v>
      </c>
      <c r="I86" t="str">
        <f>_xlfn.XLOOKUP(AllDataApr[[#This Row],[Site Name]],LocationsKey[Site Name],LocationsKey[Region])</f>
        <v>Shipston</v>
      </c>
      <c r="J86" t="str">
        <f>_xlfn.XLOOKUP(AllDataApr[[#This Row],[Site Name]],LocationsKey[Site Name], LocationsKey[Waterway])</f>
        <v>Stour</v>
      </c>
      <c r="K86" t="s">
        <v>80</v>
      </c>
      <c r="L86">
        <v>52.062075999999998</v>
      </c>
      <c r="M86">
        <v>-1.621772</v>
      </c>
      <c r="N86" t="s">
        <v>1045</v>
      </c>
      <c r="O86">
        <v>656</v>
      </c>
      <c r="P86">
        <v>16.3</v>
      </c>
      <c r="Q86">
        <v>10</v>
      </c>
      <c r="R86" s="7" t="str">
        <f>IF(AllDataApr[[#This Row],[Nitrate (PPM)]]&gt;2, "Very high", IF(AllDataApr[[#This Row],[Nitrate (PPM)]]&gt;1, "High", IF(AllDataApr[[#This Row],[Nitrate (PPM)]]&gt;0.5, "Some evidence", IF(AllDataApr[[#This Row],[Nitrate (PPM)]]&gt;0, "No evidence", IF(AllDataApr[[#This Row],[Nitrate (PPM)]]=0, "")))))</f>
        <v>Very high</v>
      </c>
      <c r="S86">
        <v>0.55000000000000004</v>
      </c>
      <c r="T86" s="7" t="str">
        <f>IF(AllDataApr[[#This Row],[Phosphate (PPM)]]&gt;0.5, "Very high", IF(AllDataApr[[#This Row],[Phosphate (PPM)]]&gt;0.1, "High", IF(AllDataApr[[#This Row],[Phosphate (PPM)]]&gt;0.05, "Some evidence", IF(AllDataApr[[#This Row],[Phosphate (PPM)]]=0, ""))))</f>
        <v>Very high</v>
      </c>
      <c r="U86">
        <v>0.5</v>
      </c>
    </row>
    <row r="87" spans="1:22" x14ac:dyDescent="0.3">
      <c r="A87" t="s">
        <v>820</v>
      </c>
      <c r="B87" s="2">
        <v>45183</v>
      </c>
      <c r="C87" s="2" t="str" cm="1">
        <f t="array" ref="C8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87">
        <f>YEAR(AllDataApr[[#This Row],[Date]])</f>
        <v>2023</v>
      </c>
      <c r="E87" s="1">
        <v>0.5</v>
      </c>
      <c r="F87" s="2" t="str">
        <f>IF(AND(AllDataApr[[#This Row],[Time]]&lt;0.5, AllDataApr[[#This Row],[Time]]&gt;0.17)=TRUE, "Morning", IF(AND(AllDataApr[[#This Row],[Time]]&lt;0.75, AllDataApr[[#This Row],[Time]]&gt;=0.5)=TRUE, "Afternoon", IF(AND(AllDataApr[[#This Row],[Time]]&lt;1, AllDataApr[[#This Row],[Time]]&gt;=0.75)=TRUE, "Evening", "Night")))</f>
        <v>Afternoon</v>
      </c>
      <c r="G87" t="s">
        <v>59</v>
      </c>
      <c r="H87" t="str">
        <f>_xlfn.XLOOKUP(AllDataApr[[#This Row],[Location Name]], Locations[Row Labels],Locations[Group As])</f>
        <v>Preston-on-Stour River Bridge</v>
      </c>
      <c r="I87" t="str">
        <f>_xlfn.XLOOKUP(AllDataApr[[#This Row],[Site Name]],LocationsKey[Site Name],LocationsKey[Region])</f>
        <v>Stratford</v>
      </c>
      <c r="J87" t="str">
        <f>_xlfn.XLOOKUP(AllDataApr[[#This Row],[Site Name]],LocationsKey[Site Name], LocationsKey[Waterway])</f>
        <v>Stour</v>
      </c>
      <c r="K87" t="s">
        <v>78</v>
      </c>
      <c r="L87">
        <v>52.146673999999997</v>
      </c>
      <c r="M87">
        <v>-1.6993199999999999</v>
      </c>
      <c r="N87" t="s">
        <v>18</v>
      </c>
      <c r="O87">
        <v>717</v>
      </c>
      <c r="P87">
        <v>17.7</v>
      </c>
      <c r="Q87">
        <v>5</v>
      </c>
      <c r="R87" s="7" t="str">
        <f>IF(AllDataApr[[#This Row],[Nitrate (PPM)]]&gt;2, "Very high", IF(AllDataApr[[#This Row],[Nitrate (PPM)]]&gt;1, "High", IF(AllDataApr[[#This Row],[Nitrate (PPM)]]&gt;0.5, "Some evidence", IF(AllDataApr[[#This Row],[Nitrate (PPM)]]&gt;0, "No evidence", IF(AllDataApr[[#This Row],[Nitrate (PPM)]]=0, "")))))</f>
        <v>Very high</v>
      </c>
      <c r="S87">
        <v>0.6</v>
      </c>
      <c r="T87" s="7" t="str">
        <f>IF(AllDataApr[[#This Row],[Phosphate (PPM)]]&gt;0.5, "Very high", IF(AllDataApr[[#This Row],[Phosphate (PPM)]]&gt;0.1, "High", IF(AllDataApr[[#This Row],[Phosphate (PPM)]]&gt;0.05, "Some evidence", IF(AllDataApr[[#This Row],[Phosphate (PPM)]]=0, ""))))</f>
        <v>Very high</v>
      </c>
      <c r="U87">
        <v>5</v>
      </c>
      <c r="V87" t="s">
        <v>79</v>
      </c>
    </row>
    <row r="88" spans="1:22" x14ac:dyDescent="0.3">
      <c r="A88" t="s">
        <v>808</v>
      </c>
      <c r="B88" s="2">
        <v>45183</v>
      </c>
      <c r="C88" s="2" t="str" cm="1">
        <f t="array" ref="C8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88">
        <f>YEAR(AllDataApr[[#This Row],[Date]])</f>
        <v>2023</v>
      </c>
      <c r="E88" s="1">
        <v>0.66666666666666663</v>
      </c>
      <c r="F88" s="2" t="str">
        <f>IF(AND(AllDataApr[[#This Row],[Time]]&lt;0.5, AllDataApr[[#This Row],[Time]]&gt;0.17)=TRUE, "Morning", IF(AND(AllDataApr[[#This Row],[Time]]&lt;0.75, AllDataApr[[#This Row],[Time]]&gt;=0.5)=TRUE, "Afternoon", IF(AND(AllDataApr[[#This Row],[Time]]&lt;1, AllDataApr[[#This Row],[Time]]&gt;=0.75)=TRUE, "Evening", "Night")))</f>
        <v>Afternoon</v>
      </c>
      <c r="G88" t="s">
        <v>35</v>
      </c>
      <c r="H88" t="str">
        <f>_xlfn.XLOOKUP(AllDataApr[[#This Row],[Location Name]], Locations[Row Labels],Locations[Group As])</f>
        <v>Welford Boat Station</v>
      </c>
      <c r="I88" t="str">
        <f>_xlfn.XLOOKUP(AllDataApr[[#This Row],[Site Name]],LocationsKey[Site Name],LocationsKey[Region])</f>
        <v>Stratford</v>
      </c>
      <c r="J88" t="str">
        <f>_xlfn.XLOOKUP(AllDataApr[[#This Row],[Site Name]],LocationsKey[Site Name], LocationsKey[Waterway])</f>
        <v>Avon</v>
      </c>
      <c r="K88" t="s">
        <v>22</v>
      </c>
      <c r="L88">
        <v>52.175240000000002</v>
      </c>
      <c r="M88">
        <v>-1.7918700000000001</v>
      </c>
      <c r="N88" t="s">
        <v>18</v>
      </c>
      <c r="O88">
        <v>1026</v>
      </c>
      <c r="P88">
        <v>18.8</v>
      </c>
      <c r="Q88">
        <v>5</v>
      </c>
      <c r="R88" s="7" t="str">
        <f>IF(AllDataApr[[#This Row],[Nitrate (PPM)]]&gt;2, "Very high", IF(AllDataApr[[#This Row],[Nitrate (PPM)]]&gt;1, "High", IF(AllDataApr[[#This Row],[Nitrate (PPM)]]&gt;0.5, "Some evidence", IF(AllDataApr[[#This Row],[Nitrate (PPM)]]&gt;0, "No evidence", IF(AllDataApr[[#This Row],[Nitrate (PPM)]]=0, "")))))</f>
        <v>Very high</v>
      </c>
      <c r="S88">
        <v>0.56999999999999995</v>
      </c>
      <c r="T88" s="7" t="str">
        <f>IF(AllDataApr[[#This Row],[Phosphate (PPM)]]&gt;0.5, "Very high", IF(AllDataApr[[#This Row],[Phosphate (PPM)]]&gt;0.1, "High", IF(AllDataApr[[#This Row],[Phosphate (PPM)]]&gt;0.05, "Some evidence", IF(AllDataApr[[#This Row],[Phosphate (PPM)]]=0, ""))))</f>
        <v>Very high</v>
      </c>
      <c r="U88">
        <v>0</v>
      </c>
      <c r="V88" t="s">
        <v>77</v>
      </c>
    </row>
    <row r="89" spans="1:22" x14ac:dyDescent="0.3">
      <c r="A89" t="s">
        <v>819</v>
      </c>
      <c r="B89" s="2">
        <v>45185</v>
      </c>
      <c r="C89" s="2" t="str" cm="1">
        <f t="array" ref="C8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89">
        <f>YEAR(AllDataApr[[#This Row],[Date]])</f>
        <v>2023</v>
      </c>
      <c r="E89" s="1">
        <v>0.41319444444444442</v>
      </c>
      <c r="F89" s="2" t="str">
        <f>IF(AND(AllDataApr[[#This Row],[Time]]&lt;0.5, AllDataApr[[#This Row],[Time]]&gt;0.17)=TRUE, "Morning", IF(AND(AllDataApr[[#This Row],[Time]]&lt;0.75, AllDataApr[[#This Row],[Time]]&gt;=0.5)=TRUE, "Afternoon", IF(AND(AllDataApr[[#This Row],[Time]]&lt;1, AllDataApr[[#This Row],[Time]]&gt;=0.75)=TRUE, "Evening", "Night")))</f>
        <v>Morning</v>
      </c>
      <c r="G89" t="s">
        <v>16</v>
      </c>
      <c r="H89" t="str">
        <f>_xlfn.XLOOKUP(AllDataApr[[#This Row],[Location Name]], Locations[Row Labels],Locations[Group As])</f>
        <v>Twyning Fleet</v>
      </c>
      <c r="I89" t="str">
        <f>_xlfn.XLOOKUP(AllDataApr[[#This Row],[Site Name]],LocationsKey[Site Name],LocationsKey[Region])</f>
        <v>Tewkesbury</v>
      </c>
      <c r="J89" t="str">
        <f>_xlfn.XLOOKUP(AllDataApr[[#This Row],[Site Name]],LocationsKey[Site Name], LocationsKey[Waterway])</f>
        <v>Avon</v>
      </c>
      <c r="K89" t="s">
        <v>32</v>
      </c>
      <c r="L89">
        <v>52.027113</v>
      </c>
      <c r="M89">
        <v>-2.1406619999999998</v>
      </c>
      <c r="N89" t="s">
        <v>18</v>
      </c>
      <c r="O89">
        <v>1010</v>
      </c>
      <c r="P89">
        <v>19.8</v>
      </c>
      <c r="Q89">
        <v>10</v>
      </c>
      <c r="R89" s="7" t="str">
        <f>IF(AllDataApr[[#This Row],[Nitrate (PPM)]]&gt;2, "Very high", IF(AllDataApr[[#This Row],[Nitrate (PPM)]]&gt;1, "High", IF(AllDataApr[[#This Row],[Nitrate (PPM)]]&gt;0.5, "Some evidence", IF(AllDataApr[[#This Row],[Nitrate (PPM)]]&gt;0, "No evidence", IF(AllDataApr[[#This Row],[Nitrate (PPM)]]=0, "")))))</f>
        <v>Very high</v>
      </c>
      <c r="S89">
        <v>1.25</v>
      </c>
      <c r="T89" s="7" t="str">
        <f>IF(AllDataApr[[#This Row],[Phosphate (PPM)]]&gt;0.5, "Very high", IF(AllDataApr[[#This Row],[Phosphate (PPM)]]&gt;0.1, "High", IF(AllDataApr[[#This Row],[Phosphate (PPM)]]&gt;0.05, "Some evidence", IF(AllDataApr[[#This Row],[Phosphate (PPM)]]=0, ""))))</f>
        <v>Very high</v>
      </c>
      <c r="U89">
        <v>0</v>
      </c>
      <c r="V89" t="s">
        <v>54</v>
      </c>
    </row>
    <row r="90" spans="1:22" x14ac:dyDescent="0.3">
      <c r="A90" t="s">
        <v>816</v>
      </c>
      <c r="B90" s="2">
        <v>45185</v>
      </c>
      <c r="C90" s="2" t="str" cm="1">
        <f t="array" ref="C9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90">
        <f>YEAR(AllDataApr[[#This Row],[Date]])</f>
        <v>2023</v>
      </c>
      <c r="E90" s="1">
        <v>0.44791666666666669</v>
      </c>
      <c r="F90" s="2" t="str">
        <f>IF(AND(AllDataApr[[#This Row],[Time]]&lt;0.5, AllDataApr[[#This Row],[Time]]&gt;0.17)=TRUE, "Morning", IF(AND(AllDataApr[[#This Row],[Time]]&lt;0.75, AllDataApr[[#This Row],[Time]]&gt;=0.5)=TRUE, "Afternoon", IF(AND(AllDataApr[[#This Row],[Time]]&lt;1, AllDataApr[[#This Row],[Time]]&gt;=0.75)=TRUE, "Evening", "Night")))</f>
        <v>Morning</v>
      </c>
      <c r="G90" t="s">
        <v>48</v>
      </c>
      <c r="H90" t="str">
        <f>_xlfn.XLOOKUP(AllDataApr[[#This Row],[Location Name]], Locations[Row Labels],Locations[Group As])</f>
        <v>Pitch 16</v>
      </c>
      <c r="I90" t="str">
        <f>_xlfn.XLOOKUP(AllDataApr[[#This Row],[Site Name]],LocationsKey[Site Name],LocationsKey[Region])</f>
        <v>Stratford</v>
      </c>
      <c r="J90" t="str">
        <f>_xlfn.XLOOKUP(AllDataApr[[#This Row],[Site Name]],LocationsKey[Site Name], LocationsKey[Waterway])</f>
        <v>Avon</v>
      </c>
      <c r="K90" t="s">
        <v>39</v>
      </c>
      <c r="N90" t="s">
        <v>18</v>
      </c>
      <c r="O90">
        <v>966</v>
      </c>
      <c r="P90">
        <v>18.600000000000001</v>
      </c>
      <c r="Q90">
        <v>15</v>
      </c>
      <c r="R90" s="7" t="str">
        <f>IF(AllDataApr[[#This Row],[Nitrate (PPM)]]&gt;2, "Very high", IF(AllDataApr[[#This Row],[Nitrate (PPM)]]&gt;1, "High", IF(AllDataApr[[#This Row],[Nitrate (PPM)]]&gt;0.5, "Some evidence", IF(AllDataApr[[#This Row],[Nitrate (PPM)]]&gt;0, "No evidence", IF(AllDataApr[[#This Row],[Nitrate (PPM)]]=0, "")))))</f>
        <v>Very high</v>
      </c>
      <c r="S90">
        <v>0.73</v>
      </c>
      <c r="T90" s="7" t="str">
        <f>IF(AllDataApr[[#This Row],[Phosphate (PPM)]]&gt;0.5, "Very high", IF(AllDataApr[[#This Row],[Phosphate (PPM)]]&gt;0.1, "High", IF(AllDataApr[[#This Row],[Phosphate (PPM)]]&gt;0.05, "Some evidence", IF(AllDataApr[[#This Row],[Phosphate (PPM)]]=0, ""))))</f>
        <v>Very high</v>
      </c>
      <c r="U90">
        <v>1</v>
      </c>
    </row>
    <row r="91" spans="1:22" x14ac:dyDescent="0.3">
      <c r="A91" t="s">
        <v>815</v>
      </c>
      <c r="B91" s="2">
        <v>45185</v>
      </c>
      <c r="C91" s="2" t="str" cm="1">
        <f t="array" ref="C9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91">
        <f>YEAR(AllDataApr[[#This Row],[Date]])</f>
        <v>2023</v>
      </c>
      <c r="E91" s="1">
        <v>0.46180555555555558</v>
      </c>
      <c r="F91" s="2" t="str">
        <f>IF(AND(AllDataApr[[#This Row],[Time]]&lt;0.5, AllDataApr[[#This Row],[Time]]&gt;0.17)=TRUE, "Morning", IF(AND(AllDataApr[[#This Row],[Time]]&lt;0.75, AllDataApr[[#This Row],[Time]]&gt;=0.5)=TRUE, "Afternoon", IF(AND(AllDataApr[[#This Row],[Time]]&lt;1, AllDataApr[[#This Row],[Time]]&gt;=0.75)=TRUE, "Evening", "Night")))</f>
        <v>Morning</v>
      </c>
      <c r="G91" t="s">
        <v>48</v>
      </c>
      <c r="H91" t="str">
        <f>_xlfn.XLOOKUP(AllDataApr[[#This Row],[Location Name]], Locations[Row Labels],Locations[Group As])</f>
        <v>Avonbank Drive</v>
      </c>
      <c r="I91" t="str">
        <f>_xlfn.XLOOKUP(AllDataApr[[#This Row],[Site Name]],LocationsKey[Site Name],LocationsKey[Region])</f>
        <v>Stratford</v>
      </c>
      <c r="J91" t="str">
        <f>_xlfn.XLOOKUP(AllDataApr[[#This Row],[Site Name]],LocationsKey[Site Name], LocationsKey[Waterway])</f>
        <v>Avon</v>
      </c>
      <c r="K91" t="s">
        <v>71</v>
      </c>
      <c r="N91" t="s">
        <v>42</v>
      </c>
      <c r="O91">
        <v>921</v>
      </c>
      <c r="P91">
        <v>18.2</v>
      </c>
      <c r="Q91">
        <v>15</v>
      </c>
      <c r="R91" s="7" t="str">
        <f>IF(AllDataApr[[#This Row],[Nitrate (PPM)]]&gt;2, "Very high", IF(AllDataApr[[#This Row],[Nitrate (PPM)]]&gt;1, "High", IF(AllDataApr[[#This Row],[Nitrate (PPM)]]&gt;0.5, "Some evidence", IF(AllDataApr[[#This Row],[Nitrate (PPM)]]&gt;0, "No evidence", IF(AllDataApr[[#This Row],[Nitrate (PPM)]]=0, "")))))</f>
        <v>Very high</v>
      </c>
      <c r="S91">
        <v>0.56000000000000005</v>
      </c>
      <c r="T91" s="7" t="str">
        <f>IF(AllDataApr[[#This Row],[Phosphate (PPM)]]&gt;0.5, "Very high", IF(AllDataApr[[#This Row],[Phosphate (PPM)]]&gt;0.1, "High", IF(AllDataApr[[#This Row],[Phosphate (PPM)]]&gt;0.05, "Some evidence", IF(AllDataApr[[#This Row],[Phosphate (PPM)]]=0, ""))))</f>
        <v>Very high</v>
      </c>
      <c r="U91">
        <v>1</v>
      </c>
    </row>
    <row r="92" spans="1:22" x14ac:dyDescent="0.3">
      <c r="A92" t="s">
        <v>814</v>
      </c>
      <c r="B92" s="2">
        <v>45185</v>
      </c>
      <c r="C92" s="2" t="str" cm="1">
        <f t="array" ref="C9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92">
        <f>YEAR(AllDataApr[[#This Row],[Date]])</f>
        <v>2023</v>
      </c>
      <c r="E92" s="1">
        <v>0.6333333333333333</v>
      </c>
      <c r="F92" s="2" t="str">
        <f>IF(AND(AllDataApr[[#This Row],[Time]]&lt;0.5, AllDataApr[[#This Row],[Time]]&gt;0.17)=TRUE, "Morning", IF(AND(AllDataApr[[#This Row],[Time]]&lt;0.75, AllDataApr[[#This Row],[Time]]&gt;=0.5)=TRUE, "Afternoon", IF(AND(AllDataApr[[#This Row],[Time]]&lt;1, AllDataApr[[#This Row],[Time]]&gt;=0.75)=TRUE, "Evening", "Night")))</f>
        <v>Afternoon</v>
      </c>
      <c r="G92" t="s">
        <v>11</v>
      </c>
      <c r="H92" t="str">
        <f>_xlfn.XLOOKUP(AllDataApr[[#This Row],[Location Name]], Locations[Row Labels],Locations[Group As])</f>
        <v>Abbey Mill</v>
      </c>
      <c r="I92" t="str">
        <f>_xlfn.XLOOKUP(AllDataApr[[#This Row],[Site Name]],LocationsKey[Site Name],LocationsKey[Region])</f>
        <v>Tewkesbury</v>
      </c>
      <c r="J92" t="str">
        <f>_xlfn.XLOOKUP(AllDataApr[[#This Row],[Site Name]],LocationsKey[Site Name], LocationsKey[Waterway])</f>
        <v>Avon</v>
      </c>
      <c r="K92" t="s">
        <v>12</v>
      </c>
      <c r="L92">
        <v>51.991416000000001</v>
      </c>
      <c r="M92">
        <v>-2.1629619999999998</v>
      </c>
      <c r="N92" t="s">
        <v>200</v>
      </c>
      <c r="P92">
        <v>20</v>
      </c>
      <c r="Q92">
        <v>5</v>
      </c>
      <c r="R92" s="7" t="str">
        <f>IF(AllDataApr[[#This Row],[Nitrate (PPM)]]&gt;2, "Very high", IF(AllDataApr[[#This Row],[Nitrate (PPM)]]&gt;1, "High", IF(AllDataApr[[#This Row],[Nitrate (PPM)]]&gt;0.5, "Some evidence", IF(AllDataApr[[#This Row],[Nitrate (PPM)]]&gt;0, "No evidence", IF(AllDataApr[[#This Row],[Nitrate (PPM)]]=0, "")))))</f>
        <v>Very high</v>
      </c>
      <c r="S92">
        <v>1.1000000000000001</v>
      </c>
      <c r="T92" s="7" t="str">
        <f>IF(AllDataApr[[#This Row],[Phosphate (PPM)]]&gt;0.5, "Very high", IF(AllDataApr[[#This Row],[Phosphate (PPM)]]&gt;0.1, "High", IF(AllDataApr[[#This Row],[Phosphate (PPM)]]&gt;0.05, "Some evidence", IF(AllDataApr[[#This Row],[Phosphate (PPM)]]=0, ""))))</f>
        <v>Very high</v>
      </c>
      <c r="U92">
        <v>0</v>
      </c>
    </row>
    <row r="93" spans="1:22" x14ac:dyDescent="0.3">
      <c r="A93" t="s">
        <v>811</v>
      </c>
      <c r="B93" s="2">
        <v>45186</v>
      </c>
      <c r="C93" s="2" t="str" cm="1">
        <f t="array" ref="C9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93">
        <f>YEAR(AllDataApr[[#This Row],[Date]])</f>
        <v>2023</v>
      </c>
      <c r="E93" s="1">
        <v>0.5</v>
      </c>
      <c r="F93" s="2" t="str">
        <f>IF(AND(AllDataApr[[#This Row],[Time]]&lt;0.5, AllDataApr[[#This Row],[Time]]&gt;0.17)=TRUE, "Morning", IF(AND(AllDataApr[[#This Row],[Time]]&lt;0.75, AllDataApr[[#This Row],[Time]]&gt;=0.5)=TRUE, "Afternoon", IF(AND(AllDataApr[[#This Row],[Time]]&lt;1, AllDataApr[[#This Row],[Time]]&gt;=0.75)=TRUE, "Evening", "Night")))</f>
        <v>Afternoon</v>
      </c>
      <c r="G93" t="s">
        <v>20</v>
      </c>
      <c r="H93" t="str">
        <f>_xlfn.XLOOKUP(AllDataApr[[#This Row],[Location Name]], Locations[Row Labels],Locations[Group As])</f>
        <v>Hampton Wood</v>
      </c>
      <c r="I93" t="str">
        <f>_xlfn.XLOOKUP(AllDataApr[[#This Row],[Site Name]],LocationsKey[Site Name],LocationsKey[Region])</f>
        <v>Stratford</v>
      </c>
      <c r="J93" t="str">
        <f>_xlfn.XLOOKUP(AllDataApr[[#This Row],[Site Name]],LocationsKey[Site Name], LocationsKey[Waterway])</f>
        <v>Avon</v>
      </c>
      <c r="K93" t="s">
        <v>25</v>
      </c>
      <c r="L93">
        <v>52.238149999999997</v>
      </c>
      <c r="M93">
        <v>-1.6245799999999999</v>
      </c>
      <c r="N93" t="s">
        <v>18</v>
      </c>
      <c r="O93">
        <v>912</v>
      </c>
      <c r="P93">
        <v>18.8</v>
      </c>
      <c r="Q93">
        <v>6</v>
      </c>
      <c r="R93" s="7" t="str">
        <f>IF(AllDataApr[[#This Row],[Nitrate (PPM)]]&gt;2, "Very high", IF(AllDataApr[[#This Row],[Nitrate (PPM)]]&gt;1, "High", IF(AllDataApr[[#This Row],[Nitrate (PPM)]]&gt;0.5, "Some evidence", IF(AllDataApr[[#This Row],[Nitrate (PPM)]]&gt;0, "No evidence", IF(AllDataApr[[#This Row],[Nitrate (PPM)]]=0, "")))))</f>
        <v>Very high</v>
      </c>
      <c r="S93">
        <v>0.62</v>
      </c>
      <c r="T93" s="7" t="str">
        <f>IF(AllDataApr[[#This Row],[Phosphate (PPM)]]&gt;0.5, "Very high", IF(AllDataApr[[#This Row],[Phosphate (PPM)]]&gt;0.1, "High", IF(AllDataApr[[#This Row],[Phosphate (PPM)]]&gt;0.05, "Some evidence", IF(AllDataApr[[#This Row],[Phosphate (PPM)]]=0, ""))))</f>
        <v>Very high</v>
      </c>
      <c r="U93">
        <v>0</v>
      </c>
    </row>
    <row r="94" spans="1:22" x14ac:dyDescent="0.3">
      <c r="A94" t="s">
        <v>813</v>
      </c>
      <c r="B94" s="2">
        <v>45186</v>
      </c>
      <c r="C94" s="2" t="str" cm="1">
        <f t="array" ref="C9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94">
        <f>YEAR(AllDataApr[[#This Row],[Date]])</f>
        <v>2023</v>
      </c>
      <c r="E94" s="1">
        <v>0.50069444444444444</v>
      </c>
      <c r="F94" s="2" t="str">
        <f>IF(AND(AllDataApr[[#This Row],[Time]]&lt;0.5, AllDataApr[[#This Row],[Time]]&gt;0.17)=TRUE, "Morning", IF(AND(AllDataApr[[#This Row],[Time]]&lt;0.75, AllDataApr[[#This Row],[Time]]&gt;=0.5)=TRUE, "Afternoon", IF(AND(AllDataApr[[#This Row],[Time]]&lt;1, AllDataApr[[#This Row],[Time]]&gt;=0.75)=TRUE, "Evening", "Night")))</f>
        <v>Afternoon</v>
      </c>
      <c r="G94" t="s">
        <v>52</v>
      </c>
      <c r="H94" t="str">
        <f>_xlfn.XLOOKUP(AllDataApr[[#This Row],[Location Name]], Locations[Row Labels],Locations[Group As])</f>
        <v>Carrant Bredon Rd</v>
      </c>
      <c r="I94" t="str">
        <f>_xlfn.XLOOKUP(AllDataApr[[#This Row],[Site Name]],LocationsKey[Site Name],LocationsKey[Region])</f>
        <v>Tewkesbury</v>
      </c>
      <c r="J94" t="str">
        <f>_xlfn.XLOOKUP(AllDataApr[[#This Row],[Site Name]],LocationsKey[Site Name], LocationsKey[Waterway])</f>
        <v>Carrant</v>
      </c>
      <c r="K94" t="s">
        <v>53</v>
      </c>
      <c r="N94" t="s">
        <v>200</v>
      </c>
      <c r="O94">
        <v>661</v>
      </c>
      <c r="P94">
        <v>16.600000000000001</v>
      </c>
      <c r="Q94">
        <v>7</v>
      </c>
      <c r="R94" s="7" t="str">
        <f>IF(AllDataApr[[#This Row],[Nitrate (PPM)]]&gt;2, "Very high", IF(AllDataApr[[#This Row],[Nitrate (PPM)]]&gt;1, "High", IF(AllDataApr[[#This Row],[Nitrate (PPM)]]&gt;0.5, "Some evidence", IF(AllDataApr[[#This Row],[Nitrate (PPM)]]&gt;0, "No evidence", IF(AllDataApr[[#This Row],[Nitrate (PPM)]]=0, "")))))</f>
        <v>Very high</v>
      </c>
      <c r="S94">
        <v>0.68</v>
      </c>
      <c r="T94" s="7" t="str">
        <f>IF(AllDataApr[[#This Row],[Phosphate (PPM)]]&gt;0.5, "Very high", IF(AllDataApr[[#This Row],[Phosphate (PPM)]]&gt;0.1, "High", IF(AllDataApr[[#This Row],[Phosphate (PPM)]]&gt;0.05, "Some evidence", IF(AllDataApr[[#This Row],[Phosphate (PPM)]]=0, ""))))</f>
        <v>Very high</v>
      </c>
      <c r="U94">
        <v>0</v>
      </c>
    </row>
    <row r="95" spans="1:22" x14ac:dyDescent="0.3">
      <c r="A95" t="s">
        <v>809</v>
      </c>
      <c r="B95" s="2">
        <v>45186</v>
      </c>
      <c r="C95" s="2" t="str" cm="1">
        <f t="array" ref="C9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95">
        <f>YEAR(AllDataApr[[#This Row],[Date]])</f>
        <v>2023</v>
      </c>
      <c r="E95" s="1">
        <v>0.52777777777777779</v>
      </c>
      <c r="F95" s="2" t="str">
        <f>IF(AND(AllDataApr[[#This Row],[Time]]&lt;0.5, AllDataApr[[#This Row],[Time]]&gt;0.17)=TRUE, "Morning", IF(AND(AllDataApr[[#This Row],[Time]]&lt;0.75, AllDataApr[[#This Row],[Time]]&gt;=0.5)=TRUE, "Afternoon", IF(AND(AllDataApr[[#This Row],[Time]]&lt;1, AllDataApr[[#This Row],[Time]]&gt;=0.75)=TRUE, "Evening", "Night")))</f>
        <v>Afternoon</v>
      </c>
      <c r="G95" t="s">
        <v>20</v>
      </c>
      <c r="H95" t="str">
        <f>_xlfn.XLOOKUP(AllDataApr[[#This Row],[Location Name]], Locations[Row Labels],Locations[Group As])</f>
        <v>Hampton Lucy</v>
      </c>
      <c r="I95" t="str">
        <f>_xlfn.XLOOKUP(AllDataApr[[#This Row],[Site Name]],LocationsKey[Site Name],LocationsKey[Region])</f>
        <v>Stratford</v>
      </c>
      <c r="J95" t="str">
        <f>_xlfn.XLOOKUP(AllDataApr[[#This Row],[Site Name]],LocationsKey[Site Name], LocationsKey[Waterway])</f>
        <v>Avon</v>
      </c>
      <c r="K95" t="s">
        <v>27</v>
      </c>
      <c r="L95">
        <v>52.211680000000001</v>
      </c>
      <c r="M95">
        <v>-1.6244400000000001</v>
      </c>
      <c r="N95" t="s">
        <v>200</v>
      </c>
      <c r="O95">
        <v>854</v>
      </c>
      <c r="P95">
        <v>18.600000000000001</v>
      </c>
      <c r="Q95">
        <v>4</v>
      </c>
      <c r="R95" s="7" t="str">
        <f>IF(AllDataApr[[#This Row],[Nitrate (PPM)]]&gt;2, "Very high", IF(AllDataApr[[#This Row],[Nitrate (PPM)]]&gt;1, "High", IF(AllDataApr[[#This Row],[Nitrate (PPM)]]&gt;0.5, "Some evidence", IF(AllDataApr[[#This Row],[Nitrate (PPM)]]&gt;0, "No evidence", IF(AllDataApr[[#This Row],[Nitrate (PPM)]]=0, "")))))</f>
        <v>Very high</v>
      </c>
      <c r="S95">
        <v>0.61</v>
      </c>
      <c r="T95" s="7" t="str">
        <f>IF(AllDataApr[[#This Row],[Phosphate (PPM)]]&gt;0.5, "Very high", IF(AllDataApr[[#This Row],[Phosphate (PPM)]]&gt;0.1, "High", IF(AllDataApr[[#This Row],[Phosphate (PPM)]]&gt;0.05, "Some evidence", IF(AllDataApr[[#This Row],[Phosphate (PPM)]]=0, ""))))</f>
        <v>Very high</v>
      </c>
      <c r="U95">
        <v>0</v>
      </c>
    </row>
    <row r="96" spans="1:22" x14ac:dyDescent="0.3">
      <c r="A96" t="s">
        <v>807</v>
      </c>
      <c r="B96" s="2">
        <v>45186</v>
      </c>
      <c r="C96" s="2" t="str" cm="1">
        <f t="array" ref="C9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96">
        <f>YEAR(AllDataApr[[#This Row],[Date]])</f>
        <v>2023</v>
      </c>
      <c r="E96" s="1">
        <v>0.70833333333333337</v>
      </c>
      <c r="F96" s="2" t="str">
        <f>IF(AND(AllDataApr[[#This Row],[Time]]&lt;0.5, AllDataApr[[#This Row],[Time]]&gt;0.17)=TRUE, "Morning", IF(AND(AllDataApr[[#This Row],[Time]]&lt;0.75, AllDataApr[[#This Row],[Time]]&gt;=0.5)=TRUE, "Afternoon", IF(AND(AllDataApr[[#This Row],[Time]]&lt;1, AllDataApr[[#This Row],[Time]]&gt;=0.75)=TRUE, "Evening", "Night")))</f>
        <v>Afternoon</v>
      </c>
      <c r="G96" t="s">
        <v>35</v>
      </c>
      <c r="H96" t="str">
        <f>_xlfn.XLOOKUP(AllDataApr[[#This Row],[Location Name]], Locations[Row Labels],Locations[Group As])</f>
        <v>Welford Boat Station</v>
      </c>
      <c r="I96" t="str">
        <f>_xlfn.XLOOKUP(AllDataApr[[#This Row],[Site Name]],LocationsKey[Site Name],LocationsKey[Region])</f>
        <v>Stratford</v>
      </c>
      <c r="J96" t="str">
        <f>_xlfn.XLOOKUP(AllDataApr[[#This Row],[Site Name]],LocationsKey[Site Name], LocationsKey[Waterway])</f>
        <v>Avon</v>
      </c>
      <c r="K96" t="s">
        <v>22</v>
      </c>
      <c r="L96">
        <v>52.175240000000002</v>
      </c>
      <c r="M96">
        <v>-1.7918700000000001</v>
      </c>
      <c r="N96" t="s">
        <v>18</v>
      </c>
      <c r="O96">
        <v>836</v>
      </c>
      <c r="P96">
        <v>18.2</v>
      </c>
      <c r="Q96">
        <v>4</v>
      </c>
      <c r="R96" s="7" t="str">
        <f>IF(AllDataApr[[#This Row],[Nitrate (PPM)]]&gt;2, "Very high", IF(AllDataApr[[#This Row],[Nitrate (PPM)]]&gt;1, "High", IF(AllDataApr[[#This Row],[Nitrate (PPM)]]&gt;0.5, "Some evidence", IF(AllDataApr[[#This Row],[Nitrate (PPM)]]&gt;0, "No evidence", IF(AllDataApr[[#This Row],[Nitrate (PPM)]]=0, "")))))</f>
        <v>Very high</v>
      </c>
      <c r="S96">
        <v>0.65</v>
      </c>
      <c r="T96" s="7" t="str">
        <f>IF(AllDataApr[[#This Row],[Phosphate (PPM)]]&gt;0.5, "Very high", IF(AllDataApr[[#This Row],[Phosphate (PPM)]]&gt;0.1, "High", IF(AllDataApr[[#This Row],[Phosphate (PPM)]]&gt;0.05, "Some evidence", IF(AllDataApr[[#This Row],[Phosphate (PPM)]]=0, ""))))</f>
        <v>Very high</v>
      </c>
      <c r="U96">
        <v>0</v>
      </c>
      <c r="V96" t="s">
        <v>81</v>
      </c>
    </row>
    <row r="97" spans="1:22" x14ac:dyDescent="0.3">
      <c r="A97" t="s">
        <v>806</v>
      </c>
      <c r="B97" s="2">
        <v>45187</v>
      </c>
      <c r="C97" s="2" t="str" cm="1">
        <f t="array" ref="C9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97">
        <f>YEAR(AllDataApr[[#This Row],[Date]])</f>
        <v>2023</v>
      </c>
      <c r="E97" s="1">
        <v>0.72916666666666663</v>
      </c>
      <c r="F97" s="2" t="str">
        <f>IF(AND(AllDataApr[[#This Row],[Time]]&lt;0.5, AllDataApr[[#This Row],[Time]]&gt;0.17)=TRUE, "Morning", IF(AND(AllDataApr[[#This Row],[Time]]&lt;0.75, AllDataApr[[#This Row],[Time]]&gt;=0.5)=TRUE, "Afternoon", IF(AND(AllDataApr[[#This Row],[Time]]&lt;1, AllDataApr[[#This Row],[Time]]&gt;=0.75)=TRUE, "Evening", "Night")))</f>
        <v>Afternoon</v>
      </c>
      <c r="G97" t="s">
        <v>20</v>
      </c>
      <c r="H97" t="str">
        <f>_xlfn.XLOOKUP(AllDataApr[[#This Row],[Location Name]], Locations[Row Labels],Locations[Group As])</f>
        <v>Barton</v>
      </c>
      <c r="I97" t="str">
        <f>_xlfn.XLOOKUP(AllDataApr[[#This Row],[Site Name]],LocationsKey[Site Name],LocationsKey[Region])</f>
        <v>Stratford</v>
      </c>
      <c r="J97" t="str">
        <f>_xlfn.XLOOKUP(AllDataApr[[#This Row],[Site Name]],LocationsKey[Site Name], LocationsKey[Waterway])</f>
        <v>Avon</v>
      </c>
      <c r="K97" t="s">
        <v>29</v>
      </c>
      <c r="L97">
        <v>52.161209999999997</v>
      </c>
      <c r="M97">
        <v>-1.8301499999999999</v>
      </c>
      <c r="N97" t="s">
        <v>200</v>
      </c>
      <c r="O97">
        <v>872</v>
      </c>
      <c r="P97">
        <v>17.100000000000001</v>
      </c>
      <c r="R97" s="7" t="str">
        <f>IF(AllDataApr[[#This Row],[Nitrate (PPM)]]&gt;2, "Very high", IF(AllDataApr[[#This Row],[Nitrate (PPM)]]&gt;1, "High", IF(AllDataApr[[#This Row],[Nitrate (PPM)]]&gt;0.5, "Some evidence", IF(AllDataApr[[#This Row],[Nitrate (PPM)]]&gt;0, "No evidence", IF(AllDataApr[[#This Row],[Nitrate (PPM)]]=0, "")))))</f>
        <v/>
      </c>
      <c r="S97">
        <v>0.66</v>
      </c>
      <c r="T97" s="7" t="str">
        <f>IF(AllDataApr[[#This Row],[Phosphate (PPM)]]&gt;0.5, "Very high", IF(AllDataApr[[#This Row],[Phosphate (PPM)]]&gt;0.1, "High", IF(AllDataApr[[#This Row],[Phosphate (PPM)]]&gt;0.05, "Some evidence", IF(AllDataApr[[#This Row],[Phosphate (PPM)]]=0, ""))))</f>
        <v>Very high</v>
      </c>
      <c r="U97">
        <v>0</v>
      </c>
      <c r="V97" t="s">
        <v>82</v>
      </c>
    </row>
    <row r="98" spans="1:22" x14ac:dyDescent="0.3">
      <c r="A98" t="s">
        <v>805</v>
      </c>
      <c r="B98" s="2">
        <v>45189</v>
      </c>
      <c r="C98" s="2" t="str" cm="1">
        <f t="array" ref="C9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98">
        <f>YEAR(AllDataApr[[#This Row],[Date]])</f>
        <v>2023</v>
      </c>
      <c r="E98" s="1">
        <v>0.70833333333333337</v>
      </c>
      <c r="F98" s="2" t="str">
        <f>IF(AND(AllDataApr[[#This Row],[Time]]&lt;0.5, AllDataApr[[#This Row],[Time]]&gt;0.17)=TRUE, "Morning", IF(AND(AllDataApr[[#This Row],[Time]]&lt;0.75, AllDataApr[[#This Row],[Time]]&gt;=0.5)=TRUE, "Afternoon", IF(AND(AllDataApr[[#This Row],[Time]]&lt;1, AllDataApr[[#This Row],[Time]]&gt;=0.75)=TRUE, "Evening", "Night")))</f>
        <v>Afternoon</v>
      </c>
      <c r="G98" t="s">
        <v>57</v>
      </c>
      <c r="H98" t="str">
        <f>_xlfn.XLOOKUP(AllDataApr[[#This Row],[Location Name]], Locations[Row Labels],Locations[Group As])</f>
        <v>Stour Newbold Mill</v>
      </c>
      <c r="I98" t="str">
        <f>_xlfn.XLOOKUP(AllDataApr[[#This Row],[Site Name]],LocationsKey[Site Name],LocationsKey[Region])</f>
        <v>Shipston</v>
      </c>
      <c r="J98" t="str">
        <f>_xlfn.XLOOKUP(AllDataApr[[#This Row],[Site Name]],LocationsKey[Site Name], LocationsKey[Waterway])</f>
        <v>Stour</v>
      </c>
      <c r="K98" t="s">
        <v>66</v>
      </c>
      <c r="L98">
        <v>52.113469000000002</v>
      </c>
      <c r="M98">
        <v>-1.6333439999999999</v>
      </c>
      <c r="N98" t="s">
        <v>18</v>
      </c>
      <c r="O98">
        <v>668</v>
      </c>
      <c r="P98">
        <v>16.399999999999999</v>
      </c>
      <c r="Q98">
        <v>10</v>
      </c>
      <c r="R98" s="7" t="str">
        <f>IF(AllDataApr[[#This Row],[Nitrate (PPM)]]&gt;2, "Very high", IF(AllDataApr[[#This Row],[Nitrate (PPM)]]&gt;1, "High", IF(AllDataApr[[#This Row],[Nitrate (PPM)]]&gt;0.5, "Some evidence", IF(AllDataApr[[#This Row],[Nitrate (PPM)]]&gt;0, "No evidence", IF(AllDataApr[[#This Row],[Nitrate (PPM)]]=0, "")))))</f>
        <v>Very high</v>
      </c>
      <c r="S98">
        <v>0.79</v>
      </c>
      <c r="T98" s="7" t="str">
        <f>IF(AllDataApr[[#This Row],[Phosphate (PPM)]]&gt;0.5, "Very high", IF(AllDataApr[[#This Row],[Phosphate (PPM)]]&gt;0.1, "High", IF(AllDataApr[[#This Row],[Phosphate (PPM)]]&gt;0.05, "Some evidence", IF(AllDataApr[[#This Row],[Phosphate (PPM)]]=0, ""))))</f>
        <v>Very high</v>
      </c>
      <c r="U98">
        <v>2.1</v>
      </c>
      <c r="V98" t="s">
        <v>83</v>
      </c>
    </row>
    <row r="99" spans="1:22" x14ac:dyDescent="0.3">
      <c r="A99" t="s">
        <v>799</v>
      </c>
      <c r="B99" s="2">
        <v>45190</v>
      </c>
      <c r="C99" s="2" t="str" cm="1">
        <f t="array" ref="C9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99">
        <f>YEAR(AllDataApr[[#This Row],[Date]])</f>
        <v>2023</v>
      </c>
      <c r="E99" s="1">
        <v>0.42708333333333331</v>
      </c>
      <c r="F99" s="2" t="str">
        <f>IF(AND(AllDataApr[[#This Row],[Time]]&lt;0.5, AllDataApr[[#This Row],[Time]]&gt;0.17)=TRUE, "Morning", IF(AND(AllDataApr[[#This Row],[Time]]&lt;0.75, AllDataApr[[#This Row],[Time]]&gt;=0.5)=TRUE, "Afternoon", IF(AND(AllDataApr[[#This Row],[Time]]&lt;1, AllDataApr[[#This Row],[Time]]&gt;=0.75)=TRUE, "Evening", "Night")))</f>
        <v>Morning</v>
      </c>
      <c r="G99" t="s">
        <v>46</v>
      </c>
      <c r="H99" t="str">
        <f>_xlfn.XLOOKUP(AllDataApr[[#This Row],[Location Name]], Locations[Row Labels],Locations[Group As])</f>
        <v>Swilgate</v>
      </c>
      <c r="I99" t="str">
        <f>_xlfn.XLOOKUP(AllDataApr[[#This Row],[Site Name]],LocationsKey[Site Name],LocationsKey[Region])</f>
        <v>Tewkesbury</v>
      </c>
      <c r="J99" t="str">
        <f>_xlfn.XLOOKUP(AllDataApr[[#This Row],[Site Name]],LocationsKey[Site Name], LocationsKey[Waterway])</f>
        <v>Swilgate</v>
      </c>
      <c r="K99" t="s">
        <v>47</v>
      </c>
      <c r="N99" t="s">
        <v>200</v>
      </c>
      <c r="O99">
        <v>736</v>
      </c>
      <c r="P99">
        <v>15.8</v>
      </c>
      <c r="Q99">
        <v>7</v>
      </c>
      <c r="R99" s="7" t="str">
        <f>IF(AllDataApr[[#This Row],[Nitrate (PPM)]]&gt;2, "Very high", IF(AllDataApr[[#This Row],[Nitrate (PPM)]]&gt;1, "High", IF(AllDataApr[[#This Row],[Nitrate (PPM)]]&gt;0.5, "Some evidence", IF(AllDataApr[[#This Row],[Nitrate (PPM)]]&gt;0, "No evidence", IF(AllDataApr[[#This Row],[Nitrate (PPM)]]=0, "")))))</f>
        <v>Very high</v>
      </c>
      <c r="S99">
        <v>0.83</v>
      </c>
      <c r="T99" s="7" t="str">
        <f>IF(AllDataApr[[#This Row],[Phosphate (PPM)]]&gt;0.5, "Very high", IF(AllDataApr[[#This Row],[Phosphate (PPM)]]&gt;0.1, "High", IF(AllDataApr[[#This Row],[Phosphate (PPM)]]&gt;0.05, "Some evidence", IF(AllDataApr[[#This Row],[Phosphate (PPM)]]=0, ""))))</f>
        <v>Very high</v>
      </c>
      <c r="U99">
        <v>0</v>
      </c>
    </row>
    <row r="100" spans="1:22" x14ac:dyDescent="0.3">
      <c r="A100" t="s">
        <v>804</v>
      </c>
      <c r="B100" s="2">
        <v>45190</v>
      </c>
      <c r="C100" s="2" t="str" cm="1">
        <f t="array" ref="C10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00">
        <f>YEAR(AllDataApr[[#This Row],[Date]])</f>
        <v>2023</v>
      </c>
      <c r="E100" s="1">
        <v>0.4375</v>
      </c>
      <c r="F100" s="2" t="str">
        <f>IF(AND(AllDataApr[[#This Row],[Time]]&lt;0.5, AllDataApr[[#This Row],[Time]]&gt;0.17)=TRUE, "Morning", IF(AND(AllDataApr[[#This Row],[Time]]&lt;0.75, AllDataApr[[#This Row],[Time]]&gt;=0.5)=TRUE, "Afternoon", IF(AND(AllDataApr[[#This Row],[Time]]&lt;1, AllDataApr[[#This Row],[Time]]&gt;=0.75)=TRUE, "Evening", "Night")))</f>
        <v>Morning</v>
      </c>
      <c r="G100" t="s">
        <v>11</v>
      </c>
      <c r="H100" t="str">
        <f>_xlfn.XLOOKUP(AllDataApr[[#This Row],[Location Name]], Locations[Row Labels],Locations[Group As])</f>
        <v>Abbey Mill</v>
      </c>
      <c r="I100" t="str">
        <f>_xlfn.XLOOKUP(AllDataApr[[#This Row],[Site Name]],LocationsKey[Site Name],LocationsKey[Region])</f>
        <v>Tewkesbury</v>
      </c>
      <c r="J100" t="str">
        <f>_xlfn.XLOOKUP(AllDataApr[[#This Row],[Site Name]],LocationsKey[Site Name], LocationsKey[Waterway])</f>
        <v>Avon</v>
      </c>
      <c r="K100" t="s">
        <v>12</v>
      </c>
      <c r="N100" t="s">
        <v>200</v>
      </c>
      <c r="O100">
        <v>105</v>
      </c>
      <c r="P100">
        <v>17.100000000000001</v>
      </c>
      <c r="Q100">
        <v>8</v>
      </c>
      <c r="R100" s="7" t="str">
        <f>IF(AllDataApr[[#This Row],[Nitrate (PPM)]]&gt;2, "Very high", IF(AllDataApr[[#This Row],[Nitrate (PPM)]]&gt;1, "High", IF(AllDataApr[[#This Row],[Nitrate (PPM)]]&gt;0.5, "Some evidence", IF(AllDataApr[[#This Row],[Nitrate (PPM)]]&gt;0, "No evidence", IF(AllDataApr[[#This Row],[Nitrate (PPM)]]=0, "")))))</f>
        <v>Very high</v>
      </c>
      <c r="S100">
        <v>1.04</v>
      </c>
      <c r="T100" s="7" t="str">
        <f>IF(AllDataApr[[#This Row],[Phosphate (PPM)]]&gt;0.5, "Very high", IF(AllDataApr[[#This Row],[Phosphate (PPM)]]&gt;0.1, "High", IF(AllDataApr[[#This Row],[Phosphate (PPM)]]&gt;0.05, "Some evidence", IF(AllDataApr[[#This Row],[Phosphate (PPM)]]=0, ""))))</f>
        <v>Very high</v>
      </c>
      <c r="U100">
        <v>0</v>
      </c>
    </row>
    <row r="101" spans="1:22" x14ac:dyDescent="0.3">
      <c r="A101" t="s">
        <v>803</v>
      </c>
      <c r="B101" s="2">
        <v>45190</v>
      </c>
      <c r="C101" s="2" t="str" cm="1">
        <f t="array" ref="C10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01">
        <f>YEAR(AllDataApr[[#This Row],[Date]])</f>
        <v>2023</v>
      </c>
      <c r="E101" s="1">
        <v>0.58333333333333337</v>
      </c>
      <c r="F101" s="2" t="str">
        <f>IF(AND(AllDataApr[[#This Row],[Time]]&lt;0.5, AllDataApr[[#This Row],[Time]]&gt;0.17)=TRUE, "Morning", IF(AND(AllDataApr[[#This Row],[Time]]&lt;0.75, AllDataApr[[#This Row],[Time]]&gt;=0.5)=TRUE, "Afternoon", IF(AND(AllDataApr[[#This Row],[Time]]&lt;1, AllDataApr[[#This Row],[Time]]&gt;=0.75)=TRUE, "Evening", "Night")))</f>
        <v>Afternoon</v>
      </c>
      <c r="G101" t="s">
        <v>59</v>
      </c>
      <c r="H101" t="str">
        <f>_xlfn.XLOOKUP(AllDataApr[[#This Row],[Location Name]], Locations[Row Labels],Locations[Group As])</f>
        <v>Preston-on-Stour River Bridge</v>
      </c>
      <c r="I101" t="str">
        <f>_xlfn.XLOOKUP(AllDataApr[[#This Row],[Site Name]],LocationsKey[Site Name],LocationsKey[Region])</f>
        <v>Stratford</v>
      </c>
      <c r="J101" t="str">
        <f>_xlfn.XLOOKUP(AllDataApr[[#This Row],[Site Name]],LocationsKey[Site Name], LocationsKey[Waterway])</f>
        <v>Stour</v>
      </c>
      <c r="K101" t="s">
        <v>84</v>
      </c>
      <c r="L101">
        <v>52.146552999999997</v>
      </c>
      <c r="M101">
        <v>-1.6992370000000001</v>
      </c>
      <c r="N101" t="s">
        <v>18</v>
      </c>
      <c r="O101">
        <v>671</v>
      </c>
      <c r="P101">
        <v>16.2</v>
      </c>
      <c r="Q101">
        <v>5</v>
      </c>
      <c r="R101" s="7" t="str">
        <f>IF(AllDataApr[[#This Row],[Nitrate (PPM)]]&gt;2, "Very high", IF(AllDataApr[[#This Row],[Nitrate (PPM)]]&gt;1, "High", IF(AllDataApr[[#This Row],[Nitrate (PPM)]]&gt;0.5, "Some evidence", IF(AllDataApr[[#This Row],[Nitrate (PPM)]]&gt;0, "No evidence", IF(AllDataApr[[#This Row],[Nitrate (PPM)]]=0, "")))))</f>
        <v>Very high</v>
      </c>
      <c r="S101">
        <v>0.8</v>
      </c>
      <c r="T101" s="7" t="str">
        <f>IF(AllDataApr[[#This Row],[Phosphate (PPM)]]&gt;0.5, "Very high", IF(AllDataApr[[#This Row],[Phosphate (PPM)]]&gt;0.1, "High", IF(AllDataApr[[#This Row],[Phosphate (PPM)]]&gt;0.05, "Some evidence", IF(AllDataApr[[#This Row],[Phosphate (PPM)]]=0, ""))))</f>
        <v>Very high</v>
      </c>
      <c r="U101">
        <v>7</v>
      </c>
      <c r="V101" t="s">
        <v>85</v>
      </c>
    </row>
    <row r="102" spans="1:22" x14ac:dyDescent="0.3">
      <c r="A102" t="s">
        <v>802</v>
      </c>
      <c r="B102" s="2">
        <v>45192</v>
      </c>
      <c r="C102" s="2" t="str" cm="1">
        <f t="array" ref="C10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02">
        <f>YEAR(AllDataApr[[#This Row],[Date]])</f>
        <v>2023</v>
      </c>
      <c r="E102" s="1">
        <v>0.46527777777777779</v>
      </c>
      <c r="F102" s="2" t="str">
        <f>IF(AND(AllDataApr[[#This Row],[Time]]&lt;0.5, AllDataApr[[#This Row],[Time]]&gt;0.17)=TRUE, "Morning", IF(AND(AllDataApr[[#This Row],[Time]]&lt;0.75, AllDataApr[[#This Row],[Time]]&gt;=0.5)=TRUE, "Afternoon", IF(AND(AllDataApr[[#This Row],[Time]]&lt;1, AllDataApr[[#This Row],[Time]]&gt;=0.75)=TRUE, "Evening", "Night")))</f>
        <v>Morning</v>
      </c>
      <c r="G102" t="s">
        <v>38</v>
      </c>
      <c r="H102" t="str">
        <f>_xlfn.XLOOKUP(AllDataApr[[#This Row],[Location Name]], Locations[Row Labels],Locations[Group As])</f>
        <v>Pitch 16</v>
      </c>
      <c r="I102" t="str">
        <f>_xlfn.XLOOKUP(AllDataApr[[#This Row],[Site Name]],LocationsKey[Site Name],LocationsKey[Region])</f>
        <v>Stratford</v>
      </c>
      <c r="J102" t="str">
        <f>_xlfn.XLOOKUP(AllDataApr[[#This Row],[Site Name]],LocationsKey[Site Name], LocationsKey[Waterway])</f>
        <v>Avon</v>
      </c>
      <c r="K102" t="s">
        <v>39</v>
      </c>
      <c r="L102">
        <v>52.172609000000001</v>
      </c>
      <c r="M102">
        <v>-1.7454480000000001</v>
      </c>
      <c r="N102" t="s">
        <v>18</v>
      </c>
      <c r="O102">
        <v>856</v>
      </c>
      <c r="P102">
        <v>15.5</v>
      </c>
      <c r="Q102">
        <v>15</v>
      </c>
      <c r="R102" s="7" t="str">
        <f>IF(AllDataApr[[#This Row],[Nitrate (PPM)]]&gt;2, "Very high", IF(AllDataApr[[#This Row],[Nitrate (PPM)]]&gt;1, "High", IF(AllDataApr[[#This Row],[Nitrate (PPM)]]&gt;0.5, "Some evidence", IF(AllDataApr[[#This Row],[Nitrate (PPM)]]&gt;0, "No evidence", IF(AllDataApr[[#This Row],[Nitrate (PPM)]]=0, "")))))</f>
        <v>Very high</v>
      </c>
      <c r="S102">
        <v>0.97</v>
      </c>
      <c r="T102" s="7" t="str">
        <f>IF(AllDataApr[[#This Row],[Phosphate (PPM)]]&gt;0.5, "Very high", IF(AllDataApr[[#This Row],[Phosphate (PPM)]]&gt;0.1, "High", IF(AllDataApr[[#This Row],[Phosphate (PPM)]]&gt;0.05, "Some evidence", IF(AllDataApr[[#This Row],[Phosphate (PPM)]]=0, ""))))</f>
        <v>Very high</v>
      </c>
      <c r="U102">
        <v>0.6</v>
      </c>
      <c r="V102" t="s">
        <v>88</v>
      </c>
    </row>
    <row r="103" spans="1:22" x14ac:dyDescent="0.3">
      <c r="A103" t="s">
        <v>801</v>
      </c>
      <c r="B103" s="2">
        <v>45192</v>
      </c>
      <c r="C103" s="2" t="str" cm="1">
        <f t="array" ref="C10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03">
        <f>YEAR(AllDataApr[[#This Row],[Date]])</f>
        <v>2023</v>
      </c>
      <c r="E103" s="1">
        <v>0.48888888888888887</v>
      </c>
      <c r="F103" s="2" t="str">
        <f>IF(AND(AllDataApr[[#This Row],[Time]]&lt;0.5, AllDataApr[[#This Row],[Time]]&gt;0.17)=TRUE, "Morning", IF(AND(AllDataApr[[#This Row],[Time]]&lt;0.75, AllDataApr[[#This Row],[Time]]&gt;=0.5)=TRUE, "Afternoon", IF(AND(AllDataApr[[#This Row],[Time]]&lt;1, AllDataApr[[#This Row],[Time]]&gt;=0.75)=TRUE, "Evening", "Night")))</f>
        <v>Morning</v>
      </c>
      <c r="G103" t="s">
        <v>38</v>
      </c>
      <c r="H103" t="str">
        <f>_xlfn.XLOOKUP(AllDataApr[[#This Row],[Location Name]], Locations[Row Labels],Locations[Group As])</f>
        <v>Avonbank Drive</v>
      </c>
      <c r="I103" t="str">
        <f>_xlfn.XLOOKUP(AllDataApr[[#This Row],[Site Name]],LocationsKey[Site Name],LocationsKey[Region])</f>
        <v>Stratford</v>
      </c>
      <c r="J103" t="str">
        <f>_xlfn.XLOOKUP(AllDataApr[[#This Row],[Site Name]],LocationsKey[Site Name], LocationsKey[Waterway])</f>
        <v>Avon</v>
      </c>
      <c r="K103" t="s">
        <v>41</v>
      </c>
      <c r="L103">
        <v>52.177247999999999</v>
      </c>
      <c r="M103">
        <v>-1.7358929999999999</v>
      </c>
      <c r="N103" t="s">
        <v>42</v>
      </c>
      <c r="O103">
        <v>882</v>
      </c>
      <c r="P103">
        <v>18.5</v>
      </c>
      <c r="Q103">
        <v>15</v>
      </c>
      <c r="R103" s="7" t="str">
        <f>IF(AllDataApr[[#This Row],[Nitrate (PPM)]]&gt;2, "Very high", IF(AllDataApr[[#This Row],[Nitrate (PPM)]]&gt;1, "High", IF(AllDataApr[[#This Row],[Nitrate (PPM)]]&gt;0.5, "Some evidence", IF(AllDataApr[[#This Row],[Nitrate (PPM)]]&gt;0, "No evidence", IF(AllDataApr[[#This Row],[Nitrate (PPM)]]=0, "")))))</f>
        <v>Very high</v>
      </c>
      <c r="S103">
        <v>0.8</v>
      </c>
      <c r="T103" s="7" t="str">
        <f>IF(AllDataApr[[#This Row],[Phosphate (PPM)]]&gt;0.5, "Very high", IF(AllDataApr[[#This Row],[Phosphate (PPM)]]&gt;0.1, "High", IF(AllDataApr[[#This Row],[Phosphate (PPM)]]&gt;0.05, "Some evidence", IF(AllDataApr[[#This Row],[Phosphate (PPM)]]=0, ""))))</f>
        <v>Very high</v>
      </c>
      <c r="U103">
        <v>0.6</v>
      </c>
    </row>
    <row r="104" spans="1:22" x14ac:dyDescent="0.3">
      <c r="A104" t="s">
        <v>800</v>
      </c>
      <c r="B104" s="2">
        <v>45192</v>
      </c>
      <c r="C104" s="2" t="str" cm="1">
        <f t="array" ref="C10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04">
        <f>YEAR(AllDataApr[[#This Row],[Date]])</f>
        <v>2023</v>
      </c>
      <c r="E104" s="1">
        <v>0.53194444444444444</v>
      </c>
      <c r="F104" s="2" t="str">
        <f>IF(AND(AllDataApr[[#This Row],[Time]]&lt;0.5, AllDataApr[[#This Row],[Time]]&gt;0.17)=TRUE, "Morning", IF(AND(AllDataApr[[#This Row],[Time]]&lt;0.75, AllDataApr[[#This Row],[Time]]&gt;=0.5)=TRUE, "Afternoon", IF(AND(AllDataApr[[#This Row],[Time]]&lt;1, AllDataApr[[#This Row],[Time]]&gt;=0.75)=TRUE, "Evening", "Night")))</f>
        <v>Afternoon</v>
      </c>
      <c r="G104" t="s">
        <v>38</v>
      </c>
      <c r="H104" t="str">
        <f>_xlfn.XLOOKUP(AllDataApr[[#This Row],[Location Name]], Locations[Row Labels],Locations[Group As])</f>
        <v>Trinity Church</v>
      </c>
      <c r="I104" t="str">
        <f>_xlfn.XLOOKUP(AllDataApr[[#This Row],[Site Name]],LocationsKey[Site Name],LocationsKey[Region])</f>
        <v>Stratford</v>
      </c>
      <c r="J104" t="str">
        <f>_xlfn.XLOOKUP(AllDataApr[[#This Row],[Site Name]],LocationsKey[Site Name], LocationsKey[Waterway])</f>
        <v>Avon</v>
      </c>
      <c r="K104" t="s">
        <v>86</v>
      </c>
      <c r="L104">
        <v>52.187393</v>
      </c>
      <c r="M104">
        <v>-1.706607</v>
      </c>
      <c r="N104" t="s">
        <v>1047</v>
      </c>
      <c r="O104">
        <v>887</v>
      </c>
      <c r="P104">
        <v>16.600000000000001</v>
      </c>
      <c r="Q104">
        <v>15</v>
      </c>
      <c r="R104" s="7" t="str">
        <f>IF(AllDataApr[[#This Row],[Nitrate (PPM)]]&gt;2, "Very high", IF(AllDataApr[[#This Row],[Nitrate (PPM)]]&gt;1, "High", IF(AllDataApr[[#This Row],[Nitrate (PPM)]]&gt;0.5, "Some evidence", IF(AllDataApr[[#This Row],[Nitrate (PPM)]]&gt;0, "No evidence", IF(AllDataApr[[#This Row],[Nitrate (PPM)]]=0, "")))))</f>
        <v>Very high</v>
      </c>
      <c r="S104">
        <v>0.6</v>
      </c>
      <c r="T104" s="7" t="str">
        <f>IF(AllDataApr[[#This Row],[Phosphate (PPM)]]&gt;0.5, "Very high", IF(AllDataApr[[#This Row],[Phosphate (PPM)]]&gt;0.1, "High", IF(AllDataApr[[#This Row],[Phosphate (PPM)]]&gt;0.05, "Some evidence", IF(AllDataApr[[#This Row],[Phosphate (PPM)]]=0, ""))))</f>
        <v>Very high</v>
      </c>
      <c r="U104">
        <v>0.6</v>
      </c>
      <c r="V104" t="s">
        <v>87</v>
      </c>
    </row>
    <row r="105" spans="1:22" x14ac:dyDescent="0.3">
      <c r="A105" t="s">
        <v>795</v>
      </c>
      <c r="B105" s="2">
        <v>45192</v>
      </c>
      <c r="C105" s="2" t="str" cm="1">
        <f t="array" ref="C10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05">
        <f>YEAR(AllDataApr[[#This Row],[Date]])</f>
        <v>2023</v>
      </c>
      <c r="E105" s="1">
        <v>0.60416666666666663</v>
      </c>
      <c r="F105" s="2" t="str">
        <f>IF(AND(AllDataApr[[#This Row],[Time]]&lt;0.5, AllDataApr[[#This Row],[Time]]&gt;0.17)=TRUE, "Morning", IF(AND(AllDataApr[[#This Row],[Time]]&lt;0.75, AllDataApr[[#This Row],[Time]]&gt;=0.5)=TRUE, "Afternoon", IF(AND(AllDataApr[[#This Row],[Time]]&lt;1, AllDataApr[[#This Row],[Time]]&gt;=0.75)=TRUE, "Evening", "Night")))</f>
        <v>Afternoon</v>
      </c>
      <c r="G105" t="s">
        <v>52</v>
      </c>
      <c r="H105" t="str">
        <f>_xlfn.XLOOKUP(AllDataApr[[#This Row],[Location Name]], Locations[Row Labels],Locations[Group As])</f>
        <v>Carrant Bredon Rd</v>
      </c>
      <c r="I105" t="str">
        <f>_xlfn.XLOOKUP(AllDataApr[[#This Row],[Site Name]],LocationsKey[Site Name],LocationsKey[Region])</f>
        <v>Tewkesbury</v>
      </c>
      <c r="J105" t="str">
        <f>_xlfn.XLOOKUP(AllDataApr[[#This Row],[Site Name]],LocationsKey[Site Name], LocationsKey[Waterway])</f>
        <v>Carrant</v>
      </c>
      <c r="K105" t="s">
        <v>53</v>
      </c>
      <c r="N105" t="s">
        <v>200</v>
      </c>
      <c r="O105">
        <v>655</v>
      </c>
      <c r="P105">
        <v>13.4</v>
      </c>
      <c r="Q105">
        <v>8</v>
      </c>
      <c r="R105" s="7" t="str">
        <f>IF(AllDataApr[[#This Row],[Nitrate (PPM)]]&gt;2, "Very high", IF(AllDataApr[[#This Row],[Nitrate (PPM)]]&gt;1, "High", IF(AllDataApr[[#This Row],[Nitrate (PPM)]]&gt;0.5, "Some evidence", IF(AllDataApr[[#This Row],[Nitrate (PPM)]]&gt;0, "No evidence", IF(AllDataApr[[#This Row],[Nitrate (PPM)]]=0, "")))))</f>
        <v>Very high</v>
      </c>
      <c r="S105">
        <v>0.94</v>
      </c>
      <c r="T105" s="7" t="str">
        <f>IF(AllDataApr[[#This Row],[Phosphate (PPM)]]&gt;0.5, "Very high", IF(AllDataApr[[#This Row],[Phosphate (PPM)]]&gt;0.1, "High", IF(AllDataApr[[#This Row],[Phosphate (PPM)]]&gt;0.05, "Some evidence", IF(AllDataApr[[#This Row],[Phosphate (PPM)]]=0, ""))))</f>
        <v>Very high</v>
      </c>
      <c r="U105">
        <v>0</v>
      </c>
    </row>
    <row r="106" spans="1:22" x14ac:dyDescent="0.3">
      <c r="A106" t="s">
        <v>798</v>
      </c>
      <c r="B106" s="2">
        <v>45196</v>
      </c>
      <c r="C106" s="2" t="str" cm="1">
        <f t="array" ref="C10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06">
        <f>YEAR(AllDataApr[[#This Row],[Date]])</f>
        <v>2023</v>
      </c>
      <c r="E106" s="1">
        <v>0.67222222222222228</v>
      </c>
      <c r="F106" s="2" t="str">
        <f>IF(AND(AllDataApr[[#This Row],[Time]]&lt;0.5, AllDataApr[[#This Row],[Time]]&gt;0.17)=TRUE, "Morning", IF(AND(AllDataApr[[#This Row],[Time]]&lt;0.75, AllDataApr[[#This Row],[Time]]&gt;=0.5)=TRUE, "Afternoon", IF(AND(AllDataApr[[#This Row],[Time]]&lt;1, AllDataApr[[#This Row],[Time]]&gt;=0.75)=TRUE, "Evening", "Night")))</f>
        <v>Afternoon</v>
      </c>
      <c r="G106" t="s">
        <v>57</v>
      </c>
      <c r="H106" t="str">
        <f>_xlfn.XLOOKUP(AllDataApr[[#This Row],[Location Name]], Locations[Row Labels],Locations[Group As])</f>
        <v>Stour Newbold Mill</v>
      </c>
      <c r="I106" t="str">
        <f>_xlfn.XLOOKUP(AllDataApr[[#This Row],[Site Name]],LocationsKey[Site Name],LocationsKey[Region])</f>
        <v>Shipston</v>
      </c>
      <c r="J106" t="str">
        <f>_xlfn.XLOOKUP(AllDataApr[[#This Row],[Site Name]],LocationsKey[Site Name], LocationsKey[Waterway])</f>
        <v>Stour</v>
      </c>
      <c r="K106" t="s">
        <v>66</v>
      </c>
      <c r="L106">
        <v>52.113517000000002</v>
      </c>
      <c r="M106">
        <v>-1.633219</v>
      </c>
      <c r="N106" t="s">
        <v>18</v>
      </c>
      <c r="O106">
        <v>687</v>
      </c>
      <c r="P106">
        <v>16.7</v>
      </c>
      <c r="Q106">
        <v>5</v>
      </c>
      <c r="R106" s="7" t="str">
        <f>IF(AllDataApr[[#This Row],[Nitrate (PPM)]]&gt;2, "Very high", IF(AllDataApr[[#This Row],[Nitrate (PPM)]]&gt;1, "High", IF(AllDataApr[[#This Row],[Nitrate (PPM)]]&gt;0.5, "Some evidence", IF(AllDataApr[[#This Row],[Nitrate (PPM)]]&gt;0, "No evidence", IF(AllDataApr[[#This Row],[Nitrate (PPM)]]=0, "")))))</f>
        <v>Very high</v>
      </c>
      <c r="S106">
        <v>0.7</v>
      </c>
      <c r="T106" s="7" t="str">
        <f>IF(AllDataApr[[#This Row],[Phosphate (PPM)]]&gt;0.5, "Very high", IF(AllDataApr[[#This Row],[Phosphate (PPM)]]&gt;0.1, "High", IF(AllDataApr[[#This Row],[Phosphate (PPM)]]&gt;0.05, "Some evidence", IF(AllDataApr[[#This Row],[Phosphate (PPM)]]=0, ""))))</f>
        <v>Very high</v>
      </c>
      <c r="U106">
        <v>2</v>
      </c>
      <c r="V106" t="s">
        <v>54</v>
      </c>
    </row>
    <row r="107" spans="1:22" x14ac:dyDescent="0.3">
      <c r="A107" t="s">
        <v>797</v>
      </c>
      <c r="B107" s="2">
        <v>45197</v>
      </c>
      <c r="C107" s="2" t="str" cm="1">
        <f t="array" ref="C10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07">
        <f>YEAR(AllDataApr[[#This Row],[Date]])</f>
        <v>2023</v>
      </c>
      <c r="E107" s="1">
        <v>0.46875</v>
      </c>
      <c r="F107" s="2" t="str">
        <f>IF(AND(AllDataApr[[#This Row],[Time]]&lt;0.5, AllDataApr[[#This Row],[Time]]&gt;0.17)=TRUE, "Morning", IF(AND(AllDataApr[[#This Row],[Time]]&lt;0.75, AllDataApr[[#This Row],[Time]]&gt;=0.5)=TRUE, "Afternoon", IF(AND(AllDataApr[[#This Row],[Time]]&lt;1, AllDataApr[[#This Row],[Time]]&gt;=0.75)=TRUE, "Evening", "Night")))</f>
        <v>Morning</v>
      </c>
      <c r="G107" t="s">
        <v>59</v>
      </c>
      <c r="H107" t="str">
        <f>_xlfn.XLOOKUP(AllDataApr[[#This Row],[Location Name]], Locations[Row Labels],Locations[Group As])</f>
        <v>Preston-on-Stour River Bridge</v>
      </c>
      <c r="I107" t="str">
        <f>_xlfn.XLOOKUP(AllDataApr[[#This Row],[Site Name]],LocationsKey[Site Name],LocationsKey[Region])</f>
        <v>Stratford</v>
      </c>
      <c r="J107" t="str">
        <f>_xlfn.XLOOKUP(AllDataApr[[#This Row],[Site Name]],LocationsKey[Site Name], LocationsKey[Waterway])</f>
        <v>Stour</v>
      </c>
      <c r="K107" t="s">
        <v>78</v>
      </c>
      <c r="L107">
        <v>52.146639</v>
      </c>
      <c r="M107">
        <v>-1.6990339999999999</v>
      </c>
      <c r="N107" t="s">
        <v>18</v>
      </c>
      <c r="O107">
        <v>705</v>
      </c>
      <c r="P107">
        <v>15.1</v>
      </c>
      <c r="Q107">
        <v>5</v>
      </c>
      <c r="R107" s="7" t="str">
        <f>IF(AllDataApr[[#This Row],[Nitrate (PPM)]]&gt;2, "Very high", IF(AllDataApr[[#This Row],[Nitrate (PPM)]]&gt;1, "High", IF(AllDataApr[[#This Row],[Nitrate (PPM)]]&gt;0.5, "Some evidence", IF(AllDataApr[[#This Row],[Nitrate (PPM)]]&gt;0, "No evidence", IF(AllDataApr[[#This Row],[Nitrate (PPM)]]=0, "")))))</f>
        <v>Very high</v>
      </c>
      <c r="S107">
        <v>0.6</v>
      </c>
      <c r="T107" s="7" t="str">
        <f>IF(AllDataApr[[#This Row],[Phosphate (PPM)]]&gt;0.5, "Very high", IF(AllDataApr[[#This Row],[Phosphate (PPM)]]&gt;0.1, "High", IF(AllDataApr[[#This Row],[Phosphate (PPM)]]&gt;0.05, "Some evidence", IF(AllDataApr[[#This Row],[Phosphate (PPM)]]=0, ""))))</f>
        <v>Very high</v>
      </c>
      <c r="U107">
        <v>6</v>
      </c>
      <c r="V107" t="s">
        <v>89</v>
      </c>
    </row>
    <row r="108" spans="1:22" x14ac:dyDescent="0.3">
      <c r="A108" t="s">
        <v>796</v>
      </c>
      <c r="B108" s="2">
        <v>45197</v>
      </c>
      <c r="C108" s="2" t="str" cm="1">
        <f t="array" ref="C10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08">
        <f>YEAR(AllDataApr[[#This Row],[Date]])</f>
        <v>2023</v>
      </c>
      <c r="E108" s="1">
        <v>0.62916666666666665</v>
      </c>
      <c r="F108" s="2" t="str">
        <f>IF(AND(AllDataApr[[#This Row],[Time]]&lt;0.5, AllDataApr[[#This Row],[Time]]&gt;0.17)=TRUE, "Morning", IF(AND(AllDataApr[[#This Row],[Time]]&lt;0.75, AllDataApr[[#This Row],[Time]]&gt;=0.5)=TRUE, "Afternoon", IF(AND(AllDataApr[[#This Row],[Time]]&lt;1, AllDataApr[[#This Row],[Time]]&gt;=0.75)=TRUE, "Evening", "Night")))</f>
        <v>Afternoon</v>
      </c>
      <c r="G108" t="s">
        <v>46</v>
      </c>
      <c r="H108" t="str">
        <f>_xlfn.XLOOKUP(AllDataApr[[#This Row],[Location Name]], Locations[Row Labels],Locations[Group As])</f>
        <v>Swilgate</v>
      </c>
      <c r="I108" t="str">
        <f>_xlfn.XLOOKUP(AllDataApr[[#This Row],[Site Name]],LocationsKey[Site Name],LocationsKey[Region])</f>
        <v>Tewkesbury</v>
      </c>
      <c r="J108" t="str">
        <f>_xlfn.XLOOKUP(AllDataApr[[#This Row],[Site Name]],LocationsKey[Site Name], LocationsKey[Waterway])</f>
        <v>Swilgate</v>
      </c>
      <c r="K108" t="s">
        <v>47</v>
      </c>
      <c r="N108" t="s">
        <v>200</v>
      </c>
      <c r="O108">
        <v>813</v>
      </c>
      <c r="P108">
        <v>15.6</v>
      </c>
      <c r="Q108">
        <v>7</v>
      </c>
      <c r="R108" s="7" t="str">
        <f>IF(AllDataApr[[#This Row],[Nitrate (PPM)]]&gt;2, "Very high", IF(AllDataApr[[#This Row],[Nitrate (PPM)]]&gt;1, "High", IF(AllDataApr[[#This Row],[Nitrate (PPM)]]&gt;0.5, "Some evidence", IF(AllDataApr[[#This Row],[Nitrate (PPM)]]&gt;0, "No evidence", IF(AllDataApr[[#This Row],[Nitrate (PPM)]]=0, "")))))</f>
        <v>Very high</v>
      </c>
      <c r="S108">
        <v>0.62</v>
      </c>
      <c r="T108" s="7" t="str">
        <f>IF(AllDataApr[[#This Row],[Phosphate (PPM)]]&gt;0.5, "Very high", IF(AllDataApr[[#This Row],[Phosphate (PPM)]]&gt;0.1, "High", IF(AllDataApr[[#This Row],[Phosphate (PPM)]]&gt;0.05, "Some evidence", IF(AllDataApr[[#This Row],[Phosphate (PPM)]]=0, ""))))</f>
        <v>Very high</v>
      </c>
      <c r="U108">
        <v>0</v>
      </c>
    </row>
    <row r="109" spans="1:22" x14ac:dyDescent="0.3">
      <c r="A109" t="s">
        <v>468</v>
      </c>
      <c r="B109" s="2">
        <v>45199</v>
      </c>
      <c r="C109" s="2" t="str" cm="1">
        <f t="array" ref="C10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09">
        <f>YEAR(AllDataApr[[#This Row],[Date]])</f>
        <v>2023</v>
      </c>
      <c r="E109" s="1">
        <v>0.39583333333333331</v>
      </c>
      <c r="F109" s="2" t="str">
        <f>IF(AND(AllDataApr[[#This Row],[Time]]&lt;0.5, AllDataApr[[#This Row],[Time]]&gt;0.17)=TRUE, "Morning", IF(AND(AllDataApr[[#This Row],[Time]]&lt;0.75, AllDataApr[[#This Row],[Time]]&gt;=0.5)=TRUE, "Afternoon", IF(AND(AllDataApr[[#This Row],[Time]]&lt;1, AllDataApr[[#This Row],[Time]]&gt;=0.75)=TRUE, "Evening", "Night")))</f>
        <v>Morning</v>
      </c>
      <c r="G109" t="s">
        <v>278</v>
      </c>
      <c r="H109" t="str">
        <f>_xlfn.XLOOKUP(AllDataApr[[#This Row],[Location Name]], Locations[Row Labels],Locations[Group As])</f>
        <v>Pitch 16</v>
      </c>
      <c r="I109" t="str">
        <f>_xlfn.XLOOKUP(AllDataApr[[#This Row],[Site Name]],LocationsKey[Site Name],LocationsKey[Region])</f>
        <v>Stratford</v>
      </c>
      <c r="J109" t="str">
        <f>_xlfn.XLOOKUP(AllDataApr[[#This Row],[Site Name]],LocationsKey[Site Name], LocationsKey[Waterway])</f>
        <v>Avon</v>
      </c>
      <c r="K109" t="s">
        <v>39</v>
      </c>
      <c r="N109" t="s">
        <v>18</v>
      </c>
      <c r="O109">
        <v>902</v>
      </c>
      <c r="P109">
        <v>19.3</v>
      </c>
      <c r="Q109">
        <v>15</v>
      </c>
      <c r="R109" s="7" t="str">
        <f>IF(AllDataApr[[#This Row],[Nitrate (PPM)]]&gt;2, "Very high", IF(AllDataApr[[#This Row],[Nitrate (PPM)]]&gt;1, "High", IF(AllDataApr[[#This Row],[Nitrate (PPM)]]&gt;0.5, "Some evidence", IF(AllDataApr[[#This Row],[Nitrate (PPM)]]&gt;0, "No evidence", IF(AllDataApr[[#This Row],[Nitrate (PPM)]]=0, "")))))</f>
        <v>Very high</v>
      </c>
      <c r="S109">
        <v>0.74</v>
      </c>
      <c r="T109" s="7" t="str">
        <f>IF(AllDataApr[[#This Row],[Phosphate (PPM)]]&gt;0.5, "Very high", IF(AllDataApr[[#This Row],[Phosphate (PPM)]]&gt;0.1, "High", IF(AllDataApr[[#This Row],[Phosphate (PPM)]]&gt;0.05, "Some evidence", IF(AllDataApr[[#This Row],[Phosphate (PPM)]]=0, ""))))</f>
        <v>Very high</v>
      </c>
      <c r="U109">
        <v>0.6</v>
      </c>
    </row>
    <row r="110" spans="1:22" x14ac:dyDescent="0.3">
      <c r="A110" t="s">
        <v>469</v>
      </c>
      <c r="B110" s="2">
        <v>45199</v>
      </c>
      <c r="C110" s="2" t="str" cm="1">
        <f t="array" ref="C11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10">
        <f>YEAR(AllDataApr[[#This Row],[Date]])</f>
        <v>2023</v>
      </c>
      <c r="E110" s="1">
        <v>0.39583333333333331</v>
      </c>
      <c r="F110" s="2" t="str">
        <f>IF(AND(AllDataApr[[#This Row],[Time]]&lt;0.5, AllDataApr[[#This Row],[Time]]&gt;0.17)=TRUE, "Morning", IF(AND(AllDataApr[[#This Row],[Time]]&lt;0.75, AllDataApr[[#This Row],[Time]]&gt;=0.5)=TRUE, "Afternoon", IF(AND(AllDataApr[[#This Row],[Time]]&lt;1, AllDataApr[[#This Row],[Time]]&gt;=0.75)=TRUE, "Evening", "Night")))</f>
        <v>Morning</v>
      </c>
      <c r="G110" t="s">
        <v>278</v>
      </c>
      <c r="H110" t="str">
        <f>_xlfn.XLOOKUP(AllDataApr[[#This Row],[Location Name]], Locations[Row Labels],Locations[Group As])</f>
        <v>Avonbank Drive</v>
      </c>
      <c r="I110" t="str">
        <f>_xlfn.XLOOKUP(AllDataApr[[#This Row],[Site Name]],LocationsKey[Site Name],LocationsKey[Region])</f>
        <v>Stratford</v>
      </c>
      <c r="J110" t="str">
        <f>_xlfn.XLOOKUP(AllDataApr[[#This Row],[Site Name]],LocationsKey[Site Name], LocationsKey[Waterway])</f>
        <v>Avon</v>
      </c>
      <c r="K110" t="s">
        <v>71</v>
      </c>
      <c r="N110" t="s">
        <v>42</v>
      </c>
      <c r="O110">
        <v>917</v>
      </c>
      <c r="P110">
        <v>18.899999999999999</v>
      </c>
      <c r="Q110">
        <v>10</v>
      </c>
      <c r="R110" s="7" t="str">
        <f>IF(AllDataApr[[#This Row],[Nitrate (PPM)]]&gt;2, "Very high", IF(AllDataApr[[#This Row],[Nitrate (PPM)]]&gt;1, "High", IF(AllDataApr[[#This Row],[Nitrate (PPM)]]&gt;0.5, "Some evidence", IF(AllDataApr[[#This Row],[Nitrate (PPM)]]&gt;0, "No evidence", IF(AllDataApr[[#This Row],[Nitrate (PPM)]]=0, "")))))</f>
        <v>Very high</v>
      </c>
      <c r="S110">
        <v>0.95</v>
      </c>
      <c r="T110" s="7" t="str">
        <f>IF(AllDataApr[[#This Row],[Phosphate (PPM)]]&gt;0.5, "Very high", IF(AllDataApr[[#This Row],[Phosphate (PPM)]]&gt;0.1, "High", IF(AllDataApr[[#This Row],[Phosphate (PPM)]]&gt;0.05, "Some evidence", IF(AllDataApr[[#This Row],[Phosphate (PPM)]]=0, ""))))</f>
        <v>Very high</v>
      </c>
      <c r="U110">
        <v>0.6</v>
      </c>
    </row>
    <row r="111" spans="1:22" x14ac:dyDescent="0.3">
      <c r="A111" t="s">
        <v>793</v>
      </c>
      <c r="B111" s="2">
        <v>45200</v>
      </c>
      <c r="C111" s="2" t="str" cm="1">
        <f t="array" ref="C11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11">
        <f>YEAR(AllDataApr[[#This Row],[Date]])</f>
        <v>2023</v>
      </c>
      <c r="E111" s="1">
        <v>0.42708333333333331</v>
      </c>
      <c r="F111" s="2" t="str">
        <f>IF(AND(AllDataApr[[#This Row],[Time]]&lt;0.5, AllDataApr[[#This Row],[Time]]&gt;0.17)=TRUE, "Morning", IF(AND(AllDataApr[[#This Row],[Time]]&lt;0.75, AllDataApr[[#This Row],[Time]]&gt;=0.5)=TRUE, "Afternoon", IF(AND(AllDataApr[[#This Row],[Time]]&lt;1, AllDataApr[[#This Row],[Time]]&gt;=0.75)=TRUE, "Evening", "Night")))</f>
        <v>Morning</v>
      </c>
      <c r="G111" t="s">
        <v>11</v>
      </c>
      <c r="H111" t="str">
        <f>_xlfn.XLOOKUP(AllDataApr[[#This Row],[Location Name]], Locations[Row Labels],Locations[Group As])</f>
        <v>Abbey Mill</v>
      </c>
      <c r="I111" t="str">
        <f>_xlfn.XLOOKUP(AllDataApr[[#This Row],[Site Name]],LocationsKey[Site Name],LocationsKey[Region])</f>
        <v>Tewkesbury</v>
      </c>
      <c r="J111" t="str">
        <f>_xlfn.XLOOKUP(AllDataApr[[#This Row],[Site Name]],LocationsKey[Site Name], LocationsKey[Waterway])</f>
        <v>Avon</v>
      </c>
      <c r="K111" t="s">
        <v>13</v>
      </c>
      <c r="N111" t="s">
        <v>200</v>
      </c>
      <c r="O111">
        <v>870</v>
      </c>
      <c r="P111">
        <v>17.5</v>
      </c>
      <c r="Q111">
        <v>10</v>
      </c>
      <c r="R111" s="7" t="str">
        <f>IF(AllDataApr[[#This Row],[Nitrate (PPM)]]&gt;2, "Very high", IF(AllDataApr[[#This Row],[Nitrate (PPM)]]&gt;1, "High", IF(AllDataApr[[#This Row],[Nitrate (PPM)]]&gt;0.5, "Some evidence", IF(AllDataApr[[#This Row],[Nitrate (PPM)]]&gt;0, "No evidence", IF(AllDataApr[[#This Row],[Nitrate (PPM)]]=0, "")))))</f>
        <v>Very high</v>
      </c>
      <c r="S111">
        <v>0.98</v>
      </c>
      <c r="T111" s="7" t="str">
        <f>IF(AllDataApr[[#This Row],[Phosphate (PPM)]]&gt;0.5, "Very high", IF(AllDataApr[[#This Row],[Phosphate (PPM)]]&gt;0.1, "High", IF(AllDataApr[[#This Row],[Phosphate (PPM)]]&gt;0.05, "Some evidence", IF(AllDataApr[[#This Row],[Phosphate (PPM)]]=0, ""))))</f>
        <v>Very high</v>
      </c>
      <c r="U111">
        <v>0</v>
      </c>
    </row>
    <row r="112" spans="1:22" x14ac:dyDescent="0.3">
      <c r="A112" t="s">
        <v>794</v>
      </c>
      <c r="B112" s="2">
        <v>45200</v>
      </c>
      <c r="C112" s="2" t="str" cm="1">
        <f t="array" ref="C11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12">
        <f>YEAR(AllDataApr[[#This Row],[Date]])</f>
        <v>2023</v>
      </c>
      <c r="E112" s="1">
        <v>0.43125000000000002</v>
      </c>
      <c r="F112" s="2" t="str">
        <f>IF(AND(AllDataApr[[#This Row],[Time]]&lt;0.5, AllDataApr[[#This Row],[Time]]&gt;0.17)=TRUE, "Morning", IF(AND(AllDataApr[[#This Row],[Time]]&lt;0.75, AllDataApr[[#This Row],[Time]]&gt;=0.5)=TRUE, "Afternoon", IF(AND(AllDataApr[[#This Row],[Time]]&lt;1, AllDataApr[[#This Row],[Time]]&gt;=0.75)=TRUE, "Evening", "Night")))</f>
        <v>Morning</v>
      </c>
      <c r="G112" t="s">
        <v>55</v>
      </c>
      <c r="H112" t="str">
        <f>_xlfn.XLOOKUP(AllDataApr[[#This Row],[Location Name]], Locations[Row Labels],Locations[Group As])</f>
        <v>Stour Shipston Mill Bridge</v>
      </c>
      <c r="I112" t="str">
        <f>_xlfn.XLOOKUP(AllDataApr[[#This Row],[Site Name]],LocationsKey[Site Name],LocationsKey[Region])</f>
        <v>Shipston</v>
      </c>
      <c r="J112" t="str">
        <f>_xlfn.XLOOKUP(AllDataApr[[#This Row],[Site Name]],LocationsKey[Site Name], LocationsKey[Waterway])</f>
        <v>Stour</v>
      </c>
      <c r="K112" t="s">
        <v>90</v>
      </c>
      <c r="L112">
        <v>52.062021999999999</v>
      </c>
      <c r="M112">
        <v>-1.621729</v>
      </c>
      <c r="N112" t="s">
        <v>91</v>
      </c>
      <c r="O112">
        <v>642</v>
      </c>
      <c r="P112">
        <v>16</v>
      </c>
      <c r="Q112">
        <v>10</v>
      </c>
      <c r="R112" s="7" t="str">
        <f>IF(AllDataApr[[#This Row],[Nitrate (PPM)]]&gt;2, "Very high", IF(AllDataApr[[#This Row],[Nitrate (PPM)]]&gt;1, "High", IF(AllDataApr[[#This Row],[Nitrate (PPM)]]&gt;0.5, "Some evidence", IF(AllDataApr[[#This Row],[Nitrate (PPM)]]&gt;0, "No evidence", IF(AllDataApr[[#This Row],[Nitrate (PPM)]]=0, "")))))</f>
        <v>Very high</v>
      </c>
      <c r="S112">
        <v>0.41</v>
      </c>
      <c r="T112" s="7" t="str">
        <f>IF(AllDataApr[[#This Row],[Phosphate (PPM)]]&gt;0.5, "Very high", IF(AllDataApr[[#This Row],[Phosphate (PPM)]]&gt;0.1, "High", IF(AllDataApr[[#This Row],[Phosphate (PPM)]]&gt;0.05, "Some evidence", IF(AllDataApr[[#This Row],[Phosphate (PPM)]]=0, ""))))</f>
        <v>High</v>
      </c>
      <c r="U112">
        <v>5</v>
      </c>
    </row>
    <row r="113" spans="1:22" x14ac:dyDescent="0.3">
      <c r="A113" t="s">
        <v>792</v>
      </c>
      <c r="B113" s="2">
        <v>45203</v>
      </c>
      <c r="C113" s="2" t="str" cm="1">
        <f t="array" ref="C11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13">
        <f>YEAR(AllDataApr[[#This Row],[Date]])</f>
        <v>2023</v>
      </c>
      <c r="E113" s="1">
        <v>0.67708333333333337</v>
      </c>
      <c r="F113" s="2" t="str">
        <f>IF(AND(AllDataApr[[#This Row],[Time]]&lt;0.5, AllDataApr[[#This Row],[Time]]&gt;0.17)=TRUE, "Morning", IF(AND(AllDataApr[[#This Row],[Time]]&lt;0.75, AllDataApr[[#This Row],[Time]]&gt;=0.5)=TRUE, "Afternoon", IF(AND(AllDataApr[[#This Row],[Time]]&lt;1, AllDataApr[[#This Row],[Time]]&gt;=0.75)=TRUE, "Evening", "Night")))</f>
        <v>Afternoon</v>
      </c>
      <c r="G113" t="s">
        <v>57</v>
      </c>
      <c r="H113" t="str">
        <f>_xlfn.XLOOKUP(AllDataApr[[#This Row],[Location Name]], Locations[Row Labels],Locations[Group As])</f>
        <v>Stour Newbold Mill</v>
      </c>
      <c r="I113" t="str">
        <f>_xlfn.XLOOKUP(AllDataApr[[#This Row],[Site Name]],LocationsKey[Site Name],LocationsKey[Region])</f>
        <v>Shipston</v>
      </c>
      <c r="J113" t="str">
        <f>_xlfn.XLOOKUP(AllDataApr[[#This Row],[Site Name]],LocationsKey[Site Name], LocationsKey[Waterway])</f>
        <v>Stour</v>
      </c>
      <c r="K113" t="s">
        <v>92</v>
      </c>
      <c r="L113">
        <v>52.113486999999999</v>
      </c>
      <c r="M113">
        <v>-1.6333500000000001</v>
      </c>
      <c r="N113" t="s">
        <v>18</v>
      </c>
      <c r="O113">
        <v>704</v>
      </c>
      <c r="P113">
        <v>15.5</v>
      </c>
      <c r="Q113">
        <v>2</v>
      </c>
      <c r="R113" s="7" t="str">
        <f>IF(AllDataApr[[#This Row],[Nitrate (PPM)]]&gt;2, "Very high", IF(AllDataApr[[#This Row],[Nitrate (PPM)]]&gt;1, "High", IF(AllDataApr[[#This Row],[Nitrate (PPM)]]&gt;0.5, "Some evidence", IF(AllDataApr[[#This Row],[Nitrate (PPM)]]&gt;0, "No evidence", IF(AllDataApr[[#This Row],[Nitrate (PPM)]]=0, "")))))</f>
        <v>High</v>
      </c>
      <c r="S113">
        <v>0.71</v>
      </c>
      <c r="T113" s="7" t="str">
        <f>IF(AllDataApr[[#This Row],[Phosphate (PPM)]]&gt;0.5, "Very high", IF(AllDataApr[[#This Row],[Phosphate (PPM)]]&gt;0.1, "High", IF(AllDataApr[[#This Row],[Phosphate (PPM)]]&gt;0.05, "Some evidence", IF(AllDataApr[[#This Row],[Phosphate (PPM)]]=0, ""))))</f>
        <v>Very high</v>
      </c>
      <c r="U113">
        <v>2</v>
      </c>
      <c r="V113" t="s">
        <v>54</v>
      </c>
    </row>
    <row r="114" spans="1:22" x14ac:dyDescent="0.3">
      <c r="A114" t="s">
        <v>791</v>
      </c>
      <c r="B114" s="2">
        <v>45204</v>
      </c>
      <c r="C114" s="2" t="str" cm="1">
        <f t="array" ref="C11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14">
        <f>YEAR(AllDataApr[[#This Row],[Date]])</f>
        <v>2023</v>
      </c>
      <c r="E114" s="1">
        <v>0.4375</v>
      </c>
      <c r="F114" s="2" t="str">
        <f>IF(AND(AllDataApr[[#This Row],[Time]]&lt;0.5, AllDataApr[[#This Row],[Time]]&gt;0.17)=TRUE, "Morning", IF(AND(AllDataApr[[#This Row],[Time]]&lt;0.75, AllDataApr[[#This Row],[Time]]&gt;=0.5)=TRUE, "Afternoon", IF(AND(AllDataApr[[#This Row],[Time]]&lt;1, AllDataApr[[#This Row],[Time]]&gt;=0.75)=TRUE, "Evening", "Night")))</f>
        <v>Morning</v>
      </c>
      <c r="G114" t="s">
        <v>46</v>
      </c>
      <c r="H114" t="str">
        <f>_xlfn.XLOOKUP(AllDataApr[[#This Row],[Location Name]], Locations[Row Labels],Locations[Group As])</f>
        <v>Swilgate</v>
      </c>
      <c r="I114" t="str">
        <f>_xlfn.XLOOKUP(AllDataApr[[#This Row],[Site Name]],LocationsKey[Site Name],LocationsKey[Region])</f>
        <v>Tewkesbury</v>
      </c>
      <c r="J114" t="str">
        <f>_xlfn.XLOOKUP(AllDataApr[[#This Row],[Site Name]],LocationsKey[Site Name], LocationsKey[Waterway])</f>
        <v>Swilgate</v>
      </c>
      <c r="K114" t="s">
        <v>47</v>
      </c>
      <c r="N114" t="s">
        <v>200</v>
      </c>
      <c r="O114">
        <v>868</v>
      </c>
      <c r="P114">
        <v>15.2</v>
      </c>
      <c r="Q114">
        <v>10</v>
      </c>
      <c r="R114" s="7" t="str">
        <f>IF(AllDataApr[[#This Row],[Nitrate (PPM)]]&gt;2, "Very high", IF(AllDataApr[[#This Row],[Nitrate (PPM)]]&gt;1, "High", IF(AllDataApr[[#This Row],[Nitrate (PPM)]]&gt;0.5, "Some evidence", IF(AllDataApr[[#This Row],[Nitrate (PPM)]]&gt;0, "No evidence", IF(AllDataApr[[#This Row],[Nitrate (PPM)]]=0, "")))))</f>
        <v>Very high</v>
      </c>
      <c r="S114">
        <v>0.7</v>
      </c>
      <c r="T114" s="7" t="str">
        <f>IF(AllDataApr[[#This Row],[Phosphate (PPM)]]&gt;0.5, "Very high", IF(AllDataApr[[#This Row],[Phosphate (PPM)]]&gt;0.1, "High", IF(AllDataApr[[#This Row],[Phosphate (PPM)]]&gt;0.05, "Some evidence", IF(AllDataApr[[#This Row],[Phosphate (PPM)]]=0, ""))))</f>
        <v>Very high</v>
      </c>
      <c r="U114">
        <v>0</v>
      </c>
    </row>
    <row r="115" spans="1:22" x14ac:dyDescent="0.3">
      <c r="A115" t="s">
        <v>790</v>
      </c>
      <c r="B115" s="2">
        <v>45204</v>
      </c>
      <c r="C115" s="2" t="str" cm="1">
        <f t="array" ref="C11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15">
        <f>YEAR(AllDataApr[[#This Row],[Date]])</f>
        <v>2023</v>
      </c>
      <c r="E115" s="1">
        <v>0.59236111111111112</v>
      </c>
      <c r="F115" s="2" t="str">
        <f>IF(AND(AllDataApr[[#This Row],[Time]]&lt;0.5, AllDataApr[[#This Row],[Time]]&gt;0.17)=TRUE, "Morning", IF(AND(AllDataApr[[#This Row],[Time]]&lt;0.75, AllDataApr[[#This Row],[Time]]&gt;=0.5)=TRUE, "Afternoon", IF(AND(AllDataApr[[#This Row],[Time]]&lt;1, AllDataApr[[#This Row],[Time]]&gt;=0.75)=TRUE, "Evening", "Night")))</f>
        <v>Afternoon</v>
      </c>
      <c r="G115" t="s">
        <v>59</v>
      </c>
      <c r="H115" t="str">
        <f>_xlfn.XLOOKUP(AllDataApr[[#This Row],[Location Name]], Locations[Row Labels],Locations[Group As])</f>
        <v>Preston-on-Stour River Bridge</v>
      </c>
      <c r="I115" t="str">
        <f>_xlfn.XLOOKUP(AllDataApr[[#This Row],[Site Name]],LocationsKey[Site Name],LocationsKey[Region])</f>
        <v>Stratford</v>
      </c>
      <c r="J115" t="str">
        <f>_xlfn.XLOOKUP(AllDataApr[[#This Row],[Site Name]],LocationsKey[Site Name], LocationsKey[Waterway])</f>
        <v>Stour</v>
      </c>
      <c r="K115" t="s">
        <v>78</v>
      </c>
      <c r="L115">
        <v>52.146582000000002</v>
      </c>
      <c r="M115">
        <v>-1.6992160000000001</v>
      </c>
      <c r="N115" t="s">
        <v>18</v>
      </c>
      <c r="O115">
        <v>692</v>
      </c>
      <c r="P115">
        <v>15.8</v>
      </c>
      <c r="Q115">
        <v>5</v>
      </c>
      <c r="R115" s="7" t="str">
        <f>IF(AllDataApr[[#This Row],[Nitrate (PPM)]]&gt;2, "Very high", IF(AllDataApr[[#This Row],[Nitrate (PPM)]]&gt;1, "High", IF(AllDataApr[[#This Row],[Nitrate (PPM)]]&gt;0.5, "Some evidence", IF(AllDataApr[[#This Row],[Nitrate (PPM)]]&gt;0, "No evidence", IF(AllDataApr[[#This Row],[Nitrate (PPM)]]=0, "")))))</f>
        <v>Very high</v>
      </c>
      <c r="S115">
        <v>0.61</v>
      </c>
      <c r="T115" s="7" t="str">
        <f>IF(AllDataApr[[#This Row],[Phosphate (PPM)]]&gt;0.5, "Very high", IF(AllDataApr[[#This Row],[Phosphate (PPM)]]&gt;0.1, "High", IF(AllDataApr[[#This Row],[Phosphate (PPM)]]&gt;0.05, "Some evidence", IF(AllDataApr[[#This Row],[Phosphate (PPM)]]=0, ""))))</f>
        <v>Very high</v>
      </c>
      <c r="U115">
        <v>6</v>
      </c>
      <c r="V115" t="s">
        <v>93</v>
      </c>
    </row>
    <row r="116" spans="1:22" x14ac:dyDescent="0.3">
      <c r="A116" t="s">
        <v>789</v>
      </c>
      <c r="B116" s="2">
        <v>45206</v>
      </c>
      <c r="C116" s="2" t="str" cm="1">
        <f t="array" ref="C11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16">
        <f>YEAR(AllDataApr[[#This Row],[Date]])</f>
        <v>2023</v>
      </c>
      <c r="E116" s="1">
        <v>0.48888888888888887</v>
      </c>
      <c r="F116" s="2" t="str">
        <f>IF(AND(AllDataApr[[#This Row],[Time]]&lt;0.5, AllDataApr[[#This Row],[Time]]&gt;0.17)=TRUE, "Morning", IF(AND(AllDataApr[[#This Row],[Time]]&lt;0.75, AllDataApr[[#This Row],[Time]]&gt;=0.5)=TRUE, "Afternoon", IF(AND(AllDataApr[[#This Row],[Time]]&lt;1, AllDataApr[[#This Row],[Time]]&gt;=0.75)=TRUE, "Evening", "Night")))</f>
        <v>Morning</v>
      </c>
      <c r="G116" t="s">
        <v>11</v>
      </c>
      <c r="H116" t="str">
        <f>_xlfn.XLOOKUP(AllDataApr[[#This Row],[Location Name]], Locations[Row Labels],Locations[Group As])</f>
        <v>Ilmington Middle St</v>
      </c>
      <c r="I116" t="str">
        <f>_xlfn.XLOOKUP(AllDataApr[[#This Row],[Site Name]],LocationsKey[Site Name],LocationsKey[Region])</f>
        <v>Shipston</v>
      </c>
      <c r="J116" t="str">
        <f>_xlfn.XLOOKUP(AllDataApr[[#This Row],[Site Name]],LocationsKey[Site Name], LocationsKey[Waterway])</f>
        <v>Other (Ilmington)</v>
      </c>
      <c r="K116" t="s">
        <v>94</v>
      </c>
      <c r="L116">
        <v>52.090074000000001</v>
      </c>
      <c r="M116">
        <v>-1.692588</v>
      </c>
      <c r="N116" t="s">
        <v>200</v>
      </c>
      <c r="O116">
        <v>608</v>
      </c>
      <c r="P116">
        <v>17.100000000000001</v>
      </c>
      <c r="Q116">
        <v>1</v>
      </c>
      <c r="R116" s="7" t="str">
        <f>IF(AllDataApr[[#This Row],[Nitrate (PPM)]]&gt;2, "Very high", IF(AllDataApr[[#This Row],[Nitrate (PPM)]]&gt;1, "High", IF(AllDataApr[[#This Row],[Nitrate (PPM)]]&gt;0.5, "Some evidence", IF(AllDataApr[[#This Row],[Nitrate (PPM)]]&gt;0, "No evidence", IF(AllDataApr[[#This Row],[Nitrate (PPM)]]=0, "")))))</f>
        <v>Some evidence</v>
      </c>
      <c r="S116">
        <v>0.18</v>
      </c>
      <c r="T116" s="7" t="str">
        <f>IF(AllDataApr[[#This Row],[Phosphate (PPM)]]&gt;0.5, "Very high", IF(AllDataApr[[#This Row],[Phosphate (PPM)]]&gt;0.1, "High", IF(AllDataApr[[#This Row],[Phosphate (PPM)]]&gt;0.05, "Some evidence", IF(AllDataApr[[#This Row],[Phosphate (PPM)]]=0, ""))))</f>
        <v>High</v>
      </c>
      <c r="U116">
        <v>0</v>
      </c>
    </row>
    <row r="117" spans="1:22" x14ac:dyDescent="0.3">
      <c r="A117" t="s">
        <v>787</v>
      </c>
      <c r="B117" s="2">
        <v>45207</v>
      </c>
      <c r="C117" s="2" t="str" cm="1">
        <f t="array" ref="C11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17">
        <f>YEAR(AllDataApr[[#This Row],[Date]])</f>
        <v>2023</v>
      </c>
      <c r="E117" s="1">
        <v>0.52083333333333337</v>
      </c>
      <c r="F117" s="2" t="str">
        <f>IF(AND(AllDataApr[[#This Row],[Time]]&lt;0.5, AllDataApr[[#This Row],[Time]]&gt;0.17)=TRUE, "Morning", IF(AND(AllDataApr[[#This Row],[Time]]&lt;0.75, AllDataApr[[#This Row],[Time]]&gt;=0.5)=TRUE, "Afternoon", IF(AND(AllDataApr[[#This Row],[Time]]&lt;1, AllDataApr[[#This Row],[Time]]&gt;=0.75)=TRUE, "Evening", "Night")))</f>
        <v>Afternoon</v>
      </c>
      <c r="G117" t="s">
        <v>20</v>
      </c>
      <c r="H117" t="str">
        <f>_xlfn.XLOOKUP(AllDataApr[[#This Row],[Location Name]], Locations[Row Labels],Locations[Group As])</f>
        <v>Hampton Wood</v>
      </c>
      <c r="I117" t="str">
        <f>_xlfn.XLOOKUP(AllDataApr[[#This Row],[Site Name]],LocationsKey[Site Name],LocationsKey[Region])</f>
        <v>Stratford</v>
      </c>
      <c r="J117" t="str">
        <f>_xlfn.XLOOKUP(AllDataApr[[#This Row],[Site Name]],LocationsKey[Site Name], LocationsKey[Waterway])</f>
        <v>Avon</v>
      </c>
      <c r="K117" t="s">
        <v>25</v>
      </c>
      <c r="L117">
        <v>52.238149999999997</v>
      </c>
      <c r="M117">
        <v>-1.6245799999999999</v>
      </c>
      <c r="N117" t="s">
        <v>18</v>
      </c>
      <c r="O117">
        <v>918</v>
      </c>
      <c r="P117">
        <v>16.100000000000001</v>
      </c>
      <c r="Q117">
        <v>9</v>
      </c>
      <c r="R117" s="7" t="str">
        <f>IF(AllDataApr[[#This Row],[Nitrate (PPM)]]&gt;2, "Very high", IF(AllDataApr[[#This Row],[Nitrate (PPM)]]&gt;1, "High", IF(AllDataApr[[#This Row],[Nitrate (PPM)]]&gt;0.5, "Some evidence", IF(AllDataApr[[#This Row],[Nitrate (PPM)]]&gt;0, "No evidence", IF(AllDataApr[[#This Row],[Nitrate (PPM)]]=0, "")))))</f>
        <v>Very high</v>
      </c>
      <c r="S117">
        <v>0.73</v>
      </c>
      <c r="T117" s="7" t="str">
        <f>IF(AllDataApr[[#This Row],[Phosphate (PPM)]]&gt;0.5, "Very high", IF(AllDataApr[[#This Row],[Phosphate (PPM)]]&gt;0.1, "High", IF(AllDataApr[[#This Row],[Phosphate (PPM)]]&gt;0.05, "Some evidence", IF(AllDataApr[[#This Row],[Phosphate (PPM)]]=0, ""))))</f>
        <v>Very high</v>
      </c>
      <c r="U117">
        <v>0</v>
      </c>
    </row>
    <row r="118" spans="1:22" x14ac:dyDescent="0.3">
      <c r="A118" t="s">
        <v>786</v>
      </c>
      <c r="B118" s="2">
        <v>45207</v>
      </c>
      <c r="C118" s="2" t="str" cm="1">
        <f t="array" ref="C11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18">
        <f>YEAR(AllDataApr[[#This Row],[Date]])</f>
        <v>2023</v>
      </c>
      <c r="E118" s="1">
        <v>0.58333333333333337</v>
      </c>
      <c r="F118" s="2" t="str">
        <f>IF(AND(AllDataApr[[#This Row],[Time]]&lt;0.5, AllDataApr[[#This Row],[Time]]&gt;0.17)=TRUE, "Morning", IF(AND(AllDataApr[[#This Row],[Time]]&lt;0.75, AllDataApr[[#This Row],[Time]]&gt;=0.5)=TRUE, "Afternoon", IF(AND(AllDataApr[[#This Row],[Time]]&lt;1, AllDataApr[[#This Row],[Time]]&gt;=0.75)=TRUE, "Evening", "Night")))</f>
        <v>Afternoon</v>
      </c>
      <c r="G118" t="s">
        <v>95</v>
      </c>
      <c r="H118" t="str">
        <f>_xlfn.XLOOKUP(AllDataApr[[#This Row],[Location Name]], Locations[Row Labels],Locations[Group As])</f>
        <v>Hampton Lucy</v>
      </c>
      <c r="I118" t="str">
        <f>_xlfn.XLOOKUP(AllDataApr[[#This Row],[Site Name]],LocationsKey[Site Name],LocationsKey[Region])</f>
        <v>Stratford</v>
      </c>
      <c r="J118" t="str">
        <f>_xlfn.XLOOKUP(AllDataApr[[#This Row],[Site Name]],LocationsKey[Site Name], LocationsKey[Waterway])</f>
        <v>Avon</v>
      </c>
      <c r="K118" t="s">
        <v>27</v>
      </c>
      <c r="L118">
        <v>52.211680000000001</v>
      </c>
      <c r="M118">
        <v>-1.6244400000000001</v>
      </c>
      <c r="N118" t="s">
        <v>200</v>
      </c>
      <c r="O118">
        <v>884</v>
      </c>
      <c r="P118">
        <v>18</v>
      </c>
      <c r="Q118">
        <v>7.5</v>
      </c>
      <c r="R118" s="7" t="str">
        <f>IF(AllDataApr[[#This Row],[Nitrate (PPM)]]&gt;2, "Very high", IF(AllDataApr[[#This Row],[Nitrate (PPM)]]&gt;1, "High", IF(AllDataApr[[#This Row],[Nitrate (PPM)]]&gt;0.5, "Some evidence", IF(AllDataApr[[#This Row],[Nitrate (PPM)]]&gt;0, "No evidence", IF(AllDataApr[[#This Row],[Nitrate (PPM)]]=0, "")))))</f>
        <v>Very high</v>
      </c>
      <c r="S118">
        <v>0.6</v>
      </c>
      <c r="T118" s="7" t="str">
        <f>IF(AllDataApr[[#This Row],[Phosphate (PPM)]]&gt;0.5, "Very high", IF(AllDataApr[[#This Row],[Phosphate (PPM)]]&gt;0.1, "High", IF(AllDataApr[[#This Row],[Phosphate (PPM)]]&gt;0.05, "Some evidence", IF(AllDataApr[[#This Row],[Phosphate (PPM)]]=0, ""))))</f>
        <v>Very high</v>
      </c>
      <c r="U118">
        <v>0</v>
      </c>
    </row>
    <row r="119" spans="1:22" x14ac:dyDescent="0.3">
      <c r="A119" t="s">
        <v>785</v>
      </c>
      <c r="B119" s="2">
        <v>45207</v>
      </c>
      <c r="C119" s="2" t="str" cm="1">
        <f t="array" ref="C11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19">
        <f>YEAR(AllDataApr[[#This Row],[Date]])</f>
        <v>2023</v>
      </c>
      <c r="E119" s="1">
        <v>0.66666666666666663</v>
      </c>
      <c r="F119" s="2" t="str">
        <f>IF(AND(AllDataApr[[#This Row],[Time]]&lt;0.5, AllDataApr[[#This Row],[Time]]&gt;0.17)=TRUE, "Morning", IF(AND(AllDataApr[[#This Row],[Time]]&lt;0.75, AllDataApr[[#This Row],[Time]]&gt;=0.5)=TRUE, "Afternoon", IF(AND(AllDataApr[[#This Row],[Time]]&lt;1, AllDataApr[[#This Row],[Time]]&gt;=0.75)=TRUE, "Evening", "Night")))</f>
        <v>Afternoon</v>
      </c>
      <c r="G119" t="s">
        <v>35</v>
      </c>
      <c r="H119" t="str">
        <f>_xlfn.XLOOKUP(AllDataApr[[#This Row],[Location Name]], Locations[Row Labels],Locations[Group As])</f>
        <v>Welford Boat Station</v>
      </c>
      <c r="I119" t="str">
        <f>_xlfn.XLOOKUP(AllDataApr[[#This Row],[Site Name]],LocationsKey[Site Name],LocationsKey[Region])</f>
        <v>Stratford</v>
      </c>
      <c r="J119" t="str">
        <f>_xlfn.XLOOKUP(AllDataApr[[#This Row],[Site Name]],LocationsKey[Site Name], LocationsKey[Waterway])</f>
        <v>Avon</v>
      </c>
      <c r="K119" t="s">
        <v>22</v>
      </c>
      <c r="L119">
        <v>52.175240000000002</v>
      </c>
      <c r="M119">
        <v>-1.7918700000000001</v>
      </c>
      <c r="N119" t="s">
        <v>18</v>
      </c>
      <c r="O119">
        <v>830</v>
      </c>
      <c r="P119">
        <v>17.600000000000001</v>
      </c>
      <c r="Q119">
        <v>4.5</v>
      </c>
      <c r="R119" s="7" t="str">
        <f>IF(AllDataApr[[#This Row],[Nitrate (PPM)]]&gt;2, "Very high", IF(AllDataApr[[#This Row],[Nitrate (PPM)]]&gt;1, "High", IF(AllDataApr[[#This Row],[Nitrate (PPM)]]&gt;0.5, "Some evidence", IF(AllDataApr[[#This Row],[Nitrate (PPM)]]&gt;0, "No evidence", IF(AllDataApr[[#This Row],[Nitrate (PPM)]]=0, "")))))</f>
        <v>Very high</v>
      </c>
      <c r="S119">
        <v>0.56999999999999995</v>
      </c>
      <c r="T119" s="7" t="str">
        <f>IF(AllDataApr[[#This Row],[Phosphate (PPM)]]&gt;0.5, "Very high", IF(AllDataApr[[#This Row],[Phosphate (PPM)]]&gt;0.1, "High", IF(AllDataApr[[#This Row],[Phosphate (PPM)]]&gt;0.05, "Some evidence", IF(AllDataApr[[#This Row],[Phosphate (PPM)]]=0, ""))))</f>
        <v>Very high</v>
      </c>
      <c r="U119">
        <v>0</v>
      </c>
      <c r="V119" t="s">
        <v>51</v>
      </c>
    </row>
    <row r="120" spans="1:22" x14ac:dyDescent="0.3">
      <c r="A120" t="s">
        <v>788</v>
      </c>
      <c r="B120" s="2">
        <v>45207</v>
      </c>
      <c r="C120" s="2" t="str" cm="1">
        <f t="array" ref="C12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20">
        <f>YEAR(AllDataApr[[#This Row],[Date]])</f>
        <v>2023</v>
      </c>
      <c r="E120" s="1">
        <v>0.69374999999999998</v>
      </c>
      <c r="F120" s="2" t="str">
        <f>IF(AND(AllDataApr[[#This Row],[Time]]&lt;0.5, AllDataApr[[#This Row],[Time]]&gt;0.17)=TRUE, "Morning", IF(AND(AllDataApr[[#This Row],[Time]]&lt;0.75, AllDataApr[[#This Row],[Time]]&gt;=0.5)=TRUE, "Afternoon", IF(AND(AllDataApr[[#This Row],[Time]]&lt;1, AllDataApr[[#This Row],[Time]]&gt;=0.75)=TRUE, "Evening", "Night")))</f>
        <v>Afternoon</v>
      </c>
      <c r="G120" t="s">
        <v>11</v>
      </c>
      <c r="H120" t="str">
        <f>_xlfn.XLOOKUP(AllDataApr[[#This Row],[Location Name]], Locations[Row Labels],Locations[Group As])</f>
        <v>Abbey Mill</v>
      </c>
      <c r="I120" t="str">
        <f>_xlfn.XLOOKUP(AllDataApr[[#This Row],[Site Name]],LocationsKey[Site Name],LocationsKey[Region])</f>
        <v>Tewkesbury</v>
      </c>
      <c r="J120" t="str">
        <f>_xlfn.XLOOKUP(AllDataApr[[#This Row],[Site Name]],LocationsKey[Site Name], LocationsKey[Waterway])</f>
        <v>Avon</v>
      </c>
      <c r="K120" t="s">
        <v>12</v>
      </c>
      <c r="L120">
        <v>51.991534000000001</v>
      </c>
      <c r="M120">
        <v>-2.1627879999999999</v>
      </c>
      <c r="N120" t="s">
        <v>200</v>
      </c>
      <c r="O120">
        <v>811</v>
      </c>
      <c r="P120">
        <v>18.100000000000001</v>
      </c>
      <c r="Q120">
        <v>9</v>
      </c>
      <c r="R120" s="7" t="str">
        <f>IF(AllDataApr[[#This Row],[Nitrate (PPM)]]&gt;2, "Very high", IF(AllDataApr[[#This Row],[Nitrate (PPM)]]&gt;1, "High", IF(AllDataApr[[#This Row],[Nitrate (PPM)]]&gt;0.5, "Some evidence", IF(AllDataApr[[#This Row],[Nitrate (PPM)]]&gt;0, "No evidence", IF(AllDataApr[[#This Row],[Nitrate (PPM)]]=0, "")))))</f>
        <v>Very high</v>
      </c>
      <c r="S120">
        <v>1.01</v>
      </c>
      <c r="T120" s="7" t="str">
        <f>IF(AllDataApr[[#This Row],[Phosphate (PPM)]]&gt;0.5, "Very high", IF(AllDataApr[[#This Row],[Phosphate (PPM)]]&gt;0.1, "High", IF(AllDataApr[[#This Row],[Phosphate (PPM)]]&gt;0.05, "Some evidence", IF(AllDataApr[[#This Row],[Phosphate (PPM)]]=0, ""))))</f>
        <v>Very high</v>
      </c>
      <c r="U120">
        <v>0</v>
      </c>
    </row>
    <row r="121" spans="1:22" x14ac:dyDescent="0.3">
      <c r="A121" t="s">
        <v>466</v>
      </c>
      <c r="B121" s="2">
        <v>45207</v>
      </c>
      <c r="C121" s="2" t="str" cm="1">
        <f t="array" ref="C12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21">
        <f>YEAR(AllDataApr[[#This Row],[Date]])</f>
        <v>2023</v>
      </c>
      <c r="E121" s="1">
        <v>0.77083333333333337</v>
      </c>
      <c r="F121" s="2" t="str">
        <f>IF(AND(AllDataApr[[#This Row],[Time]]&lt;0.5, AllDataApr[[#This Row],[Time]]&gt;0.17)=TRUE, "Morning", IF(AND(AllDataApr[[#This Row],[Time]]&lt;0.75, AllDataApr[[#This Row],[Time]]&gt;=0.5)=TRUE, "Afternoon", IF(AND(AllDataApr[[#This Row],[Time]]&lt;1, AllDataApr[[#This Row],[Time]]&gt;=0.75)=TRUE, "Evening", "Night")))</f>
        <v>Evening</v>
      </c>
      <c r="G121" t="s">
        <v>278</v>
      </c>
      <c r="H121" t="str">
        <f>_xlfn.XLOOKUP(AllDataApr[[#This Row],[Location Name]], Locations[Row Labels],Locations[Group As])</f>
        <v>Pitch 16</v>
      </c>
      <c r="I121" t="str">
        <f>_xlfn.XLOOKUP(AllDataApr[[#This Row],[Site Name]],LocationsKey[Site Name],LocationsKey[Region])</f>
        <v>Stratford</v>
      </c>
      <c r="J121" t="str">
        <f>_xlfn.XLOOKUP(AllDataApr[[#This Row],[Site Name]],LocationsKey[Site Name], LocationsKey[Waterway])</f>
        <v>Avon</v>
      </c>
      <c r="K121" t="s">
        <v>39</v>
      </c>
      <c r="N121" t="s">
        <v>18</v>
      </c>
      <c r="O121">
        <v>925</v>
      </c>
      <c r="P121">
        <v>17.399999999999999</v>
      </c>
      <c r="Q121">
        <v>0.15</v>
      </c>
      <c r="R121" s="7" t="str">
        <f>IF(AllDataApr[[#This Row],[Nitrate (PPM)]]&gt;2, "Very high", IF(AllDataApr[[#This Row],[Nitrate (PPM)]]&gt;1, "High", IF(AllDataApr[[#This Row],[Nitrate (PPM)]]&gt;0.5, "Some evidence", IF(AllDataApr[[#This Row],[Nitrate (PPM)]]&gt;0, "No evidence", IF(AllDataApr[[#This Row],[Nitrate (PPM)]]=0, "")))))</f>
        <v>No evidence</v>
      </c>
      <c r="S121">
        <v>0.97</v>
      </c>
      <c r="T121" s="7" t="str">
        <f>IF(AllDataApr[[#This Row],[Phosphate (PPM)]]&gt;0.5, "Very high", IF(AllDataApr[[#This Row],[Phosphate (PPM)]]&gt;0.1, "High", IF(AllDataApr[[#This Row],[Phosphate (PPM)]]&gt;0.05, "Some evidence", IF(AllDataApr[[#This Row],[Phosphate (PPM)]]=0, ""))))</f>
        <v>Very high</v>
      </c>
      <c r="U121">
        <v>0.56999999999999995</v>
      </c>
    </row>
    <row r="122" spans="1:22" x14ac:dyDescent="0.3">
      <c r="A122" t="s">
        <v>467</v>
      </c>
      <c r="B122" s="2">
        <v>45207</v>
      </c>
      <c r="C122" s="2" t="str" cm="1">
        <f t="array" ref="C12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22">
        <f>YEAR(AllDataApr[[#This Row],[Date]])</f>
        <v>2023</v>
      </c>
      <c r="E122" s="1">
        <v>0.77083333333333337</v>
      </c>
      <c r="F122" s="2" t="str">
        <f>IF(AND(AllDataApr[[#This Row],[Time]]&lt;0.5, AllDataApr[[#This Row],[Time]]&gt;0.17)=TRUE, "Morning", IF(AND(AllDataApr[[#This Row],[Time]]&lt;0.75, AllDataApr[[#This Row],[Time]]&gt;=0.5)=TRUE, "Afternoon", IF(AND(AllDataApr[[#This Row],[Time]]&lt;1, AllDataApr[[#This Row],[Time]]&gt;=0.75)=TRUE, "Evening", "Night")))</f>
        <v>Evening</v>
      </c>
      <c r="G122" t="s">
        <v>278</v>
      </c>
      <c r="H122" t="str">
        <f>_xlfn.XLOOKUP(AllDataApr[[#This Row],[Location Name]], Locations[Row Labels],Locations[Group As])</f>
        <v>Avonbank Drive</v>
      </c>
      <c r="I122" t="str">
        <f>_xlfn.XLOOKUP(AllDataApr[[#This Row],[Site Name]],LocationsKey[Site Name],LocationsKey[Region])</f>
        <v>Stratford</v>
      </c>
      <c r="J122" t="str">
        <f>_xlfn.XLOOKUP(AllDataApr[[#This Row],[Site Name]],LocationsKey[Site Name], LocationsKey[Waterway])</f>
        <v>Avon</v>
      </c>
      <c r="K122" t="s">
        <v>71</v>
      </c>
      <c r="N122" t="s">
        <v>42</v>
      </c>
      <c r="O122">
        <v>915</v>
      </c>
      <c r="P122">
        <v>18</v>
      </c>
      <c r="Q122">
        <v>20</v>
      </c>
      <c r="R122" s="7" t="str">
        <f>IF(AllDataApr[[#This Row],[Nitrate (PPM)]]&gt;2, "Very high", IF(AllDataApr[[#This Row],[Nitrate (PPM)]]&gt;1, "High", IF(AllDataApr[[#This Row],[Nitrate (PPM)]]&gt;0.5, "Some evidence", IF(AllDataApr[[#This Row],[Nitrate (PPM)]]&gt;0, "No evidence", IF(AllDataApr[[#This Row],[Nitrate (PPM)]]=0, "")))))</f>
        <v>Very high</v>
      </c>
      <c r="S122">
        <v>1.74</v>
      </c>
      <c r="T122" s="7" t="str">
        <f>IF(AllDataApr[[#This Row],[Phosphate (PPM)]]&gt;0.5, "Very high", IF(AllDataApr[[#This Row],[Phosphate (PPM)]]&gt;0.1, "High", IF(AllDataApr[[#This Row],[Phosphate (PPM)]]&gt;0.05, "Some evidence", IF(AllDataApr[[#This Row],[Phosphate (PPM)]]=0, ""))))</f>
        <v>Very high</v>
      </c>
      <c r="U122">
        <v>0.56999999999999995</v>
      </c>
    </row>
    <row r="123" spans="1:22" x14ac:dyDescent="0.3">
      <c r="A123" t="s">
        <v>784</v>
      </c>
      <c r="B123" s="2">
        <v>45209</v>
      </c>
      <c r="C123" s="2" t="str" cm="1">
        <f t="array" ref="C12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23">
        <f>YEAR(AllDataApr[[#This Row],[Date]])</f>
        <v>2023</v>
      </c>
      <c r="E123" s="1">
        <v>0.6875</v>
      </c>
      <c r="F123" s="2" t="str">
        <f>IF(AND(AllDataApr[[#This Row],[Time]]&lt;0.5, AllDataApr[[#This Row],[Time]]&gt;0.17)=TRUE, "Morning", IF(AND(AllDataApr[[#This Row],[Time]]&lt;0.75, AllDataApr[[#This Row],[Time]]&gt;=0.5)=TRUE, "Afternoon", IF(AND(AllDataApr[[#This Row],[Time]]&lt;1, AllDataApr[[#This Row],[Time]]&gt;=0.75)=TRUE, "Evening", "Night")))</f>
        <v>Afternoon</v>
      </c>
      <c r="G123" t="s">
        <v>20</v>
      </c>
      <c r="H123" t="str">
        <f>_xlfn.XLOOKUP(AllDataApr[[#This Row],[Location Name]], Locations[Row Labels],Locations[Group As])</f>
        <v>Weston-on-Avon</v>
      </c>
      <c r="I123" t="str">
        <f>_xlfn.XLOOKUP(AllDataApr[[#This Row],[Site Name]],LocationsKey[Site Name],LocationsKey[Region])</f>
        <v>Stratford</v>
      </c>
      <c r="J123" t="str">
        <f>_xlfn.XLOOKUP(AllDataApr[[#This Row],[Site Name]],LocationsKey[Site Name], LocationsKey[Waterway])</f>
        <v>Avon</v>
      </c>
      <c r="K123" t="s">
        <v>23</v>
      </c>
      <c r="L123">
        <v>52.167430000000003</v>
      </c>
      <c r="M123">
        <v>-1.7744800000000001</v>
      </c>
      <c r="N123" t="s">
        <v>18</v>
      </c>
      <c r="O123">
        <v>972</v>
      </c>
      <c r="P123">
        <v>17.7</v>
      </c>
      <c r="Q123">
        <v>4</v>
      </c>
      <c r="R123" s="7" t="str">
        <f>IF(AllDataApr[[#This Row],[Nitrate (PPM)]]&gt;2, "Very high", IF(AllDataApr[[#This Row],[Nitrate (PPM)]]&gt;1, "High", IF(AllDataApr[[#This Row],[Nitrate (PPM)]]&gt;0.5, "Some evidence", IF(AllDataApr[[#This Row],[Nitrate (PPM)]]&gt;0, "No evidence", IF(AllDataApr[[#This Row],[Nitrate (PPM)]]=0, "")))))</f>
        <v>Very high</v>
      </c>
      <c r="S123">
        <v>0.66</v>
      </c>
      <c r="T123" s="7" t="str">
        <f>IF(AllDataApr[[#This Row],[Phosphate (PPM)]]&gt;0.5, "Very high", IF(AllDataApr[[#This Row],[Phosphate (PPM)]]&gt;0.1, "High", IF(AllDataApr[[#This Row],[Phosphate (PPM)]]&gt;0.05, "Some evidence", IF(AllDataApr[[#This Row],[Phosphate (PPM)]]=0, ""))))</f>
        <v>Very high</v>
      </c>
      <c r="U123">
        <v>0</v>
      </c>
    </row>
    <row r="124" spans="1:22" x14ac:dyDescent="0.3">
      <c r="A124" t="s">
        <v>783</v>
      </c>
      <c r="B124" s="2">
        <v>45210</v>
      </c>
      <c r="C124" s="2" t="str" cm="1">
        <f t="array" ref="C12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24">
        <f>YEAR(AllDataApr[[#This Row],[Date]])</f>
        <v>2023</v>
      </c>
      <c r="E124" s="1">
        <v>0.52083333333333337</v>
      </c>
      <c r="F124" s="2" t="str">
        <f>IF(AND(AllDataApr[[#This Row],[Time]]&lt;0.5, AllDataApr[[#This Row],[Time]]&gt;0.17)=TRUE, "Morning", IF(AND(AllDataApr[[#This Row],[Time]]&lt;0.75, AllDataApr[[#This Row],[Time]]&gt;=0.5)=TRUE, "Afternoon", IF(AND(AllDataApr[[#This Row],[Time]]&lt;1, AllDataApr[[#This Row],[Time]]&gt;=0.75)=TRUE, "Evening", "Night")))</f>
        <v>Afternoon</v>
      </c>
      <c r="G124" t="s">
        <v>100</v>
      </c>
      <c r="H124" t="str">
        <f>_xlfn.XLOOKUP(AllDataApr[[#This Row],[Location Name]], Locations[Row Labels],Locations[Group As])</f>
        <v>Barton</v>
      </c>
      <c r="I124" t="str">
        <f>_xlfn.XLOOKUP(AllDataApr[[#This Row],[Site Name]],LocationsKey[Site Name],LocationsKey[Region])</f>
        <v>Stratford</v>
      </c>
      <c r="J124" t="str">
        <f>_xlfn.XLOOKUP(AllDataApr[[#This Row],[Site Name]],LocationsKey[Site Name], LocationsKey[Waterway])</f>
        <v>Avon</v>
      </c>
      <c r="K124" t="s">
        <v>29</v>
      </c>
      <c r="L124">
        <v>52.161209999999997</v>
      </c>
      <c r="M124">
        <v>-1.8301499999999999</v>
      </c>
      <c r="N124" t="s">
        <v>18</v>
      </c>
      <c r="O124">
        <v>962</v>
      </c>
      <c r="P124">
        <v>16.5</v>
      </c>
      <c r="Q124">
        <v>4</v>
      </c>
      <c r="R124" s="7" t="str">
        <f>IF(AllDataApr[[#This Row],[Nitrate (PPM)]]&gt;2, "Very high", IF(AllDataApr[[#This Row],[Nitrate (PPM)]]&gt;1, "High", IF(AllDataApr[[#This Row],[Nitrate (PPM)]]&gt;0.5, "Some evidence", IF(AllDataApr[[#This Row],[Nitrate (PPM)]]&gt;0, "No evidence", IF(AllDataApr[[#This Row],[Nitrate (PPM)]]=0, "")))))</f>
        <v>Very high</v>
      </c>
      <c r="S124">
        <v>0.84</v>
      </c>
      <c r="T124" s="7" t="str">
        <f>IF(AllDataApr[[#This Row],[Phosphate (PPM)]]&gt;0.5, "Very high", IF(AllDataApr[[#This Row],[Phosphate (PPM)]]&gt;0.1, "High", IF(AllDataApr[[#This Row],[Phosphate (PPM)]]&gt;0.05, "Some evidence", IF(AllDataApr[[#This Row],[Phosphate (PPM)]]=0, ""))))</f>
        <v>Very high</v>
      </c>
      <c r="U124">
        <v>0</v>
      </c>
    </row>
    <row r="125" spans="1:22" x14ac:dyDescent="0.3">
      <c r="A125" t="s">
        <v>782</v>
      </c>
      <c r="B125" s="2">
        <v>45210</v>
      </c>
      <c r="C125" s="2" t="str" cm="1">
        <f t="array" ref="C12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25">
        <f>YEAR(AllDataApr[[#This Row],[Date]])</f>
        <v>2023</v>
      </c>
      <c r="E125" s="1">
        <v>0.65902777777777777</v>
      </c>
      <c r="F125" s="2" t="str">
        <f>IF(AND(AllDataApr[[#This Row],[Time]]&lt;0.5, AllDataApr[[#This Row],[Time]]&gt;0.17)=TRUE, "Morning", IF(AND(AllDataApr[[#This Row],[Time]]&lt;0.75, AllDataApr[[#This Row],[Time]]&gt;=0.5)=TRUE, "Afternoon", IF(AND(AllDataApr[[#This Row],[Time]]&lt;1, AllDataApr[[#This Row],[Time]]&gt;=0.75)=TRUE, "Evening", "Night")))</f>
        <v>Afternoon</v>
      </c>
      <c r="G125" t="s">
        <v>55</v>
      </c>
      <c r="H125" t="str">
        <f>_xlfn.XLOOKUP(AllDataApr[[#This Row],[Location Name]], Locations[Row Labels],Locations[Group As])</f>
        <v>Stour Newbold Mill</v>
      </c>
      <c r="I125" t="str">
        <f>_xlfn.XLOOKUP(AllDataApr[[#This Row],[Site Name]],LocationsKey[Site Name],LocationsKey[Region])</f>
        <v>Shipston</v>
      </c>
      <c r="J125" t="str">
        <f>_xlfn.XLOOKUP(AllDataApr[[#This Row],[Site Name]],LocationsKey[Site Name], LocationsKey[Waterway])</f>
        <v>Stour</v>
      </c>
      <c r="K125" t="s">
        <v>98</v>
      </c>
      <c r="L125">
        <v>52.113520000000001</v>
      </c>
      <c r="M125">
        <v>-1.6333390000000001</v>
      </c>
      <c r="N125" t="s">
        <v>75</v>
      </c>
      <c r="O125">
        <v>711</v>
      </c>
      <c r="P125">
        <v>15.8</v>
      </c>
      <c r="Q125">
        <v>5</v>
      </c>
      <c r="R125" s="7" t="str">
        <f>IF(AllDataApr[[#This Row],[Nitrate (PPM)]]&gt;2, "Very high", IF(AllDataApr[[#This Row],[Nitrate (PPM)]]&gt;1, "High", IF(AllDataApr[[#This Row],[Nitrate (PPM)]]&gt;0.5, "Some evidence", IF(AllDataApr[[#This Row],[Nitrate (PPM)]]&gt;0, "No evidence", IF(AllDataApr[[#This Row],[Nitrate (PPM)]]=0, "")))))</f>
        <v>Very high</v>
      </c>
      <c r="S125">
        <v>0.76</v>
      </c>
      <c r="T125" s="7" t="str">
        <f>IF(AllDataApr[[#This Row],[Phosphate (PPM)]]&gt;0.5, "Very high", IF(AllDataApr[[#This Row],[Phosphate (PPM)]]&gt;0.1, "High", IF(AllDataApr[[#This Row],[Phosphate (PPM)]]&gt;0.05, "Some evidence", IF(AllDataApr[[#This Row],[Phosphate (PPM)]]=0, ""))))</f>
        <v>Very high</v>
      </c>
      <c r="U125">
        <v>2.5</v>
      </c>
      <c r="V125" t="s">
        <v>99</v>
      </c>
    </row>
    <row r="126" spans="1:22" x14ac:dyDescent="0.3">
      <c r="A126" t="s">
        <v>781</v>
      </c>
      <c r="B126" s="2">
        <v>45210</v>
      </c>
      <c r="C126" s="2" t="str" cm="1">
        <f t="array" ref="C12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26">
        <f>YEAR(AllDataApr[[#This Row],[Date]])</f>
        <v>2023</v>
      </c>
      <c r="E126" s="1">
        <v>0.68680555555555556</v>
      </c>
      <c r="F126" s="2" t="str">
        <f>IF(AND(AllDataApr[[#This Row],[Time]]&lt;0.5, AllDataApr[[#This Row],[Time]]&gt;0.17)=TRUE, "Morning", IF(AND(AllDataApr[[#This Row],[Time]]&lt;0.75, AllDataApr[[#This Row],[Time]]&gt;=0.5)=TRUE, "Afternoon", IF(AND(AllDataApr[[#This Row],[Time]]&lt;1, AllDataApr[[#This Row],[Time]]&gt;=0.75)=TRUE, "Evening", "Night")))</f>
        <v>Afternoon</v>
      </c>
      <c r="G126" t="s">
        <v>55</v>
      </c>
      <c r="H126" t="str">
        <f>_xlfn.XLOOKUP(AllDataApr[[#This Row],[Location Name]], Locations[Row Labels],Locations[Group As])</f>
        <v>Stour Shipston Mill Bridge</v>
      </c>
      <c r="I126" t="str">
        <f>_xlfn.XLOOKUP(AllDataApr[[#This Row],[Site Name]],LocationsKey[Site Name],LocationsKey[Region])</f>
        <v>Shipston</v>
      </c>
      <c r="J126" t="str">
        <f>_xlfn.XLOOKUP(AllDataApr[[#This Row],[Site Name]],LocationsKey[Site Name], LocationsKey[Waterway])</f>
        <v>Stour</v>
      </c>
      <c r="K126" t="s">
        <v>96</v>
      </c>
      <c r="L126">
        <v>52.062024999999998</v>
      </c>
      <c r="M126">
        <v>-1.621747</v>
      </c>
      <c r="N126" t="s">
        <v>1045</v>
      </c>
      <c r="O126">
        <v>684</v>
      </c>
      <c r="P126">
        <v>15.7</v>
      </c>
      <c r="Q126">
        <v>10</v>
      </c>
      <c r="R126" s="7" t="str">
        <f>IF(AllDataApr[[#This Row],[Nitrate (PPM)]]&gt;2, "Very high", IF(AllDataApr[[#This Row],[Nitrate (PPM)]]&gt;1, "High", IF(AllDataApr[[#This Row],[Nitrate (PPM)]]&gt;0.5, "Some evidence", IF(AllDataApr[[#This Row],[Nitrate (PPM)]]&gt;0, "No evidence", IF(AllDataApr[[#This Row],[Nitrate (PPM)]]=0, "")))))</f>
        <v>Very high</v>
      </c>
      <c r="S126">
        <v>0.42</v>
      </c>
      <c r="T126" s="7" t="str">
        <f>IF(AllDataApr[[#This Row],[Phosphate (PPM)]]&gt;0.5, "Very high", IF(AllDataApr[[#This Row],[Phosphate (PPM)]]&gt;0.1, "High", IF(AllDataApr[[#This Row],[Phosphate (PPM)]]&gt;0.05, "Some evidence", IF(AllDataApr[[#This Row],[Phosphate (PPM)]]=0, ""))))</f>
        <v>High</v>
      </c>
      <c r="U126">
        <v>0.5</v>
      </c>
      <c r="V126" t="s">
        <v>97</v>
      </c>
    </row>
    <row r="127" spans="1:22" x14ac:dyDescent="0.3">
      <c r="A127" t="s">
        <v>778</v>
      </c>
      <c r="B127" s="2">
        <v>45211</v>
      </c>
      <c r="C127" s="2" t="str" cm="1">
        <f t="array" ref="C12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27">
        <f>YEAR(AllDataApr[[#This Row],[Date]])</f>
        <v>2023</v>
      </c>
      <c r="E127" s="1">
        <v>0.4375</v>
      </c>
      <c r="F127" s="2" t="str">
        <f>IF(AND(AllDataApr[[#This Row],[Time]]&lt;0.5, AllDataApr[[#This Row],[Time]]&gt;0.17)=TRUE, "Morning", IF(AND(AllDataApr[[#This Row],[Time]]&lt;0.75, AllDataApr[[#This Row],[Time]]&gt;=0.5)=TRUE, "Afternoon", IF(AND(AllDataApr[[#This Row],[Time]]&lt;1, AllDataApr[[#This Row],[Time]]&gt;=0.75)=TRUE, "Evening", "Night")))</f>
        <v>Morning</v>
      </c>
      <c r="G127" t="s">
        <v>46</v>
      </c>
      <c r="H127" t="str">
        <f>_xlfn.XLOOKUP(AllDataApr[[#This Row],[Location Name]], Locations[Row Labels],Locations[Group As])</f>
        <v>Swilgate</v>
      </c>
      <c r="I127" t="str">
        <f>_xlfn.XLOOKUP(AllDataApr[[#This Row],[Site Name]],LocationsKey[Site Name],LocationsKey[Region])</f>
        <v>Tewkesbury</v>
      </c>
      <c r="J127" t="str">
        <f>_xlfn.XLOOKUP(AllDataApr[[#This Row],[Site Name]],LocationsKey[Site Name], LocationsKey[Waterway])</f>
        <v>Swilgate</v>
      </c>
      <c r="K127" t="s">
        <v>47</v>
      </c>
      <c r="N127" t="s">
        <v>200</v>
      </c>
      <c r="O127">
        <v>637</v>
      </c>
      <c r="P127">
        <v>15</v>
      </c>
      <c r="Q127">
        <v>3</v>
      </c>
      <c r="R127" s="7" t="str">
        <f>IF(AllDataApr[[#This Row],[Nitrate (PPM)]]&gt;2, "Very high", IF(AllDataApr[[#This Row],[Nitrate (PPM)]]&gt;1, "High", IF(AllDataApr[[#This Row],[Nitrate (PPM)]]&gt;0.5, "Some evidence", IF(AllDataApr[[#This Row],[Nitrate (PPM)]]&gt;0, "No evidence", IF(AllDataApr[[#This Row],[Nitrate (PPM)]]=0, "")))))</f>
        <v>Very high</v>
      </c>
      <c r="S127">
        <v>0.67</v>
      </c>
      <c r="T127" s="7" t="str">
        <f>IF(AllDataApr[[#This Row],[Phosphate (PPM)]]&gt;0.5, "Very high", IF(AllDataApr[[#This Row],[Phosphate (PPM)]]&gt;0.1, "High", IF(AllDataApr[[#This Row],[Phosphate (PPM)]]&gt;0.05, "Some evidence", IF(AllDataApr[[#This Row],[Phosphate (PPM)]]=0, ""))))</f>
        <v>Very high</v>
      </c>
      <c r="U127">
        <v>0</v>
      </c>
      <c r="V127" t="s">
        <v>101</v>
      </c>
    </row>
    <row r="128" spans="1:22" x14ac:dyDescent="0.3">
      <c r="A128" t="s">
        <v>780</v>
      </c>
      <c r="B128" s="2">
        <v>45211</v>
      </c>
      <c r="C128" s="2" t="str" cm="1">
        <f t="array" ref="C12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28">
        <f>YEAR(AllDataApr[[#This Row],[Date]])</f>
        <v>2023</v>
      </c>
      <c r="E128" s="1">
        <v>0.58888888888888891</v>
      </c>
      <c r="F128" s="2" t="str">
        <f>IF(AND(AllDataApr[[#This Row],[Time]]&lt;0.5, AllDataApr[[#This Row],[Time]]&gt;0.17)=TRUE, "Morning", IF(AND(AllDataApr[[#This Row],[Time]]&lt;0.75, AllDataApr[[#This Row],[Time]]&gt;=0.5)=TRUE, "Afternoon", IF(AND(AllDataApr[[#This Row],[Time]]&lt;1, AllDataApr[[#This Row],[Time]]&gt;=0.75)=TRUE, "Evening", "Night")))</f>
        <v>Afternoon</v>
      </c>
      <c r="G128" t="s">
        <v>59</v>
      </c>
      <c r="H128" t="str">
        <f>_xlfn.XLOOKUP(AllDataApr[[#This Row],[Location Name]], Locations[Row Labels],Locations[Group As])</f>
        <v>Preston-on-Stour River Bridge</v>
      </c>
      <c r="I128" t="str">
        <f>_xlfn.XLOOKUP(AllDataApr[[#This Row],[Site Name]],LocationsKey[Site Name],LocationsKey[Region])</f>
        <v>Stratford</v>
      </c>
      <c r="J128" t="str">
        <f>_xlfn.XLOOKUP(AllDataApr[[#This Row],[Site Name]],LocationsKey[Site Name], LocationsKey[Waterway])</f>
        <v>Stour</v>
      </c>
      <c r="K128" t="s">
        <v>102</v>
      </c>
      <c r="L128">
        <v>52.146481999999999</v>
      </c>
      <c r="M128">
        <v>-1.699892</v>
      </c>
      <c r="N128" t="s">
        <v>18</v>
      </c>
      <c r="O128">
        <v>718</v>
      </c>
      <c r="P128">
        <v>15.2</v>
      </c>
      <c r="Q128">
        <v>5</v>
      </c>
      <c r="R128" s="7" t="str">
        <f>IF(AllDataApr[[#This Row],[Nitrate (PPM)]]&gt;2, "Very high", IF(AllDataApr[[#This Row],[Nitrate (PPM)]]&gt;1, "High", IF(AllDataApr[[#This Row],[Nitrate (PPM)]]&gt;0.5, "Some evidence", IF(AllDataApr[[#This Row],[Nitrate (PPM)]]&gt;0, "No evidence", IF(AllDataApr[[#This Row],[Nitrate (PPM)]]=0, "")))))</f>
        <v>Very high</v>
      </c>
      <c r="S128">
        <v>0.69</v>
      </c>
      <c r="T128" s="7" t="str">
        <f>IF(AllDataApr[[#This Row],[Phosphate (PPM)]]&gt;0.5, "Very high", IF(AllDataApr[[#This Row],[Phosphate (PPM)]]&gt;0.1, "High", IF(AllDataApr[[#This Row],[Phosphate (PPM)]]&gt;0.05, "Some evidence", IF(AllDataApr[[#This Row],[Phosphate (PPM)]]=0, ""))))</f>
        <v>Very high</v>
      </c>
      <c r="U128">
        <v>1.2</v>
      </c>
      <c r="V128" t="s">
        <v>103</v>
      </c>
    </row>
    <row r="129" spans="1:22" x14ac:dyDescent="0.3">
      <c r="A129" t="s">
        <v>779</v>
      </c>
      <c r="B129" s="2">
        <v>45212</v>
      </c>
      <c r="C129" s="2" t="str" cm="1">
        <f t="array" ref="C12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29">
        <f>YEAR(AllDataApr[[#This Row],[Date]])</f>
        <v>2023</v>
      </c>
      <c r="E129" s="1">
        <v>0.53194444444444444</v>
      </c>
      <c r="F129" s="2" t="str">
        <f>IF(AND(AllDataApr[[#This Row],[Time]]&lt;0.5, AllDataApr[[#This Row],[Time]]&gt;0.17)=TRUE, "Morning", IF(AND(AllDataApr[[#This Row],[Time]]&lt;0.75, AllDataApr[[#This Row],[Time]]&gt;=0.5)=TRUE, "Afternoon", IF(AND(AllDataApr[[#This Row],[Time]]&lt;1, AllDataApr[[#This Row],[Time]]&gt;=0.75)=TRUE, "Evening", "Night")))</f>
        <v>Afternoon</v>
      </c>
      <c r="G129" t="s">
        <v>16</v>
      </c>
      <c r="H129" t="str">
        <f>_xlfn.XLOOKUP(AllDataApr[[#This Row],[Location Name]], Locations[Row Labels],Locations[Group As])</f>
        <v>Twyning Fleet</v>
      </c>
      <c r="I129" t="str">
        <f>_xlfn.XLOOKUP(AllDataApr[[#This Row],[Site Name]],LocationsKey[Site Name],LocationsKey[Region])</f>
        <v>Tewkesbury</v>
      </c>
      <c r="J129" t="str">
        <f>_xlfn.XLOOKUP(AllDataApr[[#This Row],[Site Name]],LocationsKey[Site Name], LocationsKey[Waterway])</f>
        <v>Avon</v>
      </c>
      <c r="K129" t="s">
        <v>32</v>
      </c>
      <c r="L129">
        <v>52.026986999999998</v>
      </c>
      <c r="M129">
        <v>-2.1405219999999998</v>
      </c>
      <c r="N129" t="s">
        <v>18</v>
      </c>
      <c r="P129">
        <v>17.600000000000001</v>
      </c>
      <c r="Q129">
        <v>10</v>
      </c>
      <c r="R129" s="7" t="str">
        <f>IF(AllDataApr[[#This Row],[Nitrate (PPM)]]&gt;2, "Very high", IF(AllDataApr[[#This Row],[Nitrate (PPM)]]&gt;1, "High", IF(AllDataApr[[#This Row],[Nitrate (PPM)]]&gt;0.5, "Some evidence", IF(AllDataApr[[#This Row],[Nitrate (PPM)]]&gt;0, "No evidence", IF(AllDataApr[[#This Row],[Nitrate (PPM)]]=0, "")))))</f>
        <v>Very high</v>
      </c>
      <c r="S129">
        <v>1.02</v>
      </c>
      <c r="T129" s="7" t="str">
        <f>IF(AllDataApr[[#This Row],[Phosphate (PPM)]]&gt;0.5, "Very high", IF(AllDataApr[[#This Row],[Phosphate (PPM)]]&gt;0.1, "High", IF(AllDataApr[[#This Row],[Phosphate (PPM)]]&gt;0.05, "Some evidence", IF(AllDataApr[[#This Row],[Phosphate (PPM)]]=0, ""))))</f>
        <v>Very high</v>
      </c>
      <c r="U129">
        <v>0</v>
      </c>
      <c r="V129" t="s">
        <v>104</v>
      </c>
    </row>
    <row r="130" spans="1:22" x14ac:dyDescent="0.3">
      <c r="A130" t="s">
        <v>777</v>
      </c>
      <c r="B130" s="2">
        <v>45213</v>
      </c>
      <c r="C130" s="2" t="str" cm="1">
        <f t="array" ref="C13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30">
        <f>YEAR(AllDataApr[[#This Row],[Date]])</f>
        <v>2023</v>
      </c>
      <c r="E130" s="1">
        <v>0.47916666666666669</v>
      </c>
      <c r="F130" s="2" t="str">
        <f>IF(AND(AllDataApr[[#This Row],[Time]]&lt;0.5, AllDataApr[[#This Row],[Time]]&gt;0.17)=TRUE, "Morning", IF(AND(AllDataApr[[#This Row],[Time]]&lt;0.75, AllDataApr[[#This Row],[Time]]&gt;=0.5)=TRUE, "Afternoon", IF(AND(AllDataApr[[#This Row],[Time]]&lt;1, AllDataApr[[#This Row],[Time]]&gt;=0.75)=TRUE, "Evening", "Night")))</f>
        <v>Morning</v>
      </c>
      <c r="G130" t="s">
        <v>38</v>
      </c>
      <c r="H130" t="str">
        <f>_xlfn.XLOOKUP(AllDataApr[[#This Row],[Location Name]], Locations[Row Labels],Locations[Group As])</f>
        <v>Pitch 16</v>
      </c>
      <c r="I130" t="str">
        <f>_xlfn.XLOOKUP(AllDataApr[[#This Row],[Site Name]],LocationsKey[Site Name],LocationsKey[Region])</f>
        <v>Stratford</v>
      </c>
      <c r="J130" t="str">
        <f>_xlfn.XLOOKUP(AllDataApr[[#This Row],[Site Name]],LocationsKey[Site Name], LocationsKey[Waterway])</f>
        <v>Avon</v>
      </c>
      <c r="K130" t="s">
        <v>39</v>
      </c>
      <c r="L130">
        <v>52.172694999999997</v>
      </c>
      <c r="M130">
        <v>-1.745101</v>
      </c>
      <c r="N130" t="s">
        <v>18</v>
      </c>
      <c r="O130">
        <v>679</v>
      </c>
      <c r="P130">
        <v>15.3</v>
      </c>
      <c r="Q130">
        <v>5</v>
      </c>
      <c r="R130" s="7" t="str">
        <f>IF(AllDataApr[[#This Row],[Nitrate (PPM)]]&gt;2, "Very high", IF(AllDataApr[[#This Row],[Nitrate (PPM)]]&gt;1, "High", IF(AllDataApr[[#This Row],[Nitrate (PPM)]]&gt;0.5, "Some evidence", IF(AllDataApr[[#This Row],[Nitrate (PPM)]]&gt;0, "No evidence", IF(AllDataApr[[#This Row],[Nitrate (PPM)]]=0, "")))))</f>
        <v>Very high</v>
      </c>
      <c r="S130">
        <v>0.84</v>
      </c>
      <c r="T130" s="7" t="str">
        <f>IF(AllDataApr[[#This Row],[Phosphate (PPM)]]&gt;0.5, "Very high", IF(AllDataApr[[#This Row],[Phosphate (PPM)]]&gt;0.1, "High", IF(AllDataApr[[#This Row],[Phosphate (PPM)]]&gt;0.05, "Some evidence", IF(AllDataApr[[#This Row],[Phosphate (PPM)]]=0, ""))))</f>
        <v>Very high</v>
      </c>
      <c r="U130">
        <v>0.9</v>
      </c>
      <c r="V130" t="s">
        <v>107</v>
      </c>
    </row>
    <row r="131" spans="1:22" x14ac:dyDescent="0.3">
      <c r="A131" t="s">
        <v>775</v>
      </c>
      <c r="B131" s="2">
        <v>45213</v>
      </c>
      <c r="C131" s="2" t="str" cm="1">
        <f t="array" ref="C13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31">
        <f>YEAR(AllDataApr[[#This Row],[Date]])</f>
        <v>2023</v>
      </c>
      <c r="E131" s="1">
        <v>0.49305555555555558</v>
      </c>
      <c r="F131" s="2" t="str">
        <f>IF(AND(AllDataApr[[#This Row],[Time]]&lt;0.5, AllDataApr[[#This Row],[Time]]&gt;0.17)=TRUE, "Morning", IF(AND(AllDataApr[[#This Row],[Time]]&lt;0.75, AllDataApr[[#This Row],[Time]]&gt;=0.5)=TRUE, "Afternoon", IF(AND(AllDataApr[[#This Row],[Time]]&lt;1, AllDataApr[[#This Row],[Time]]&gt;=0.75)=TRUE, "Evening", "Night")))</f>
        <v>Morning</v>
      </c>
      <c r="G131" t="s">
        <v>38</v>
      </c>
      <c r="H131" t="str">
        <f>_xlfn.XLOOKUP(AllDataApr[[#This Row],[Location Name]], Locations[Row Labels],Locations[Group As])</f>
        <v>Avonbank Drive</v>
      </c>
      <c r="I131" t="str">
        <f>_xlfn.XLOOKUP(AllDataApr[[#This Row],[Site Name]],LocationsKey[Site Name],LocationsKey[Region])</f>
        <v>Stratford</v>
      </c>
      <c r="J131" t="str">
        <f>_xlfn.XLOOKUP(AllDataApr[[#This Row],[Site Name]],LocationsKey[Site Name], LocationsKey[Waterway])</f>
        <v>Avon</v>
      </c>
      <c r="K131" t="s">
        <v>41</v>
      </c>
      <c r="N131" t="s">
        <v>42</v>
      </c>
      <c r="O131">
        <v>688</v>
      </c>
      <c r="P131">
        <v>15.5</v>
      </c>
      <c r="Q131">
        <v>10</v>
      </c>
      <c r="R131" s="7" t="str">
        <f>IF(AllDataApr[[#This Row],[Nitrate (PPM)]]&gt;2, "Very high", IF(AllDataApr[[#This Row],[Nitrate (PPM)]]&gt;1, "High", IF(AllDataApr[[#This Row],[Nitrate (PPM)]]&gt;0.5, "Some evidence", IF(AllDataApr[[#This Row],[Nitrate (PPM)]]&gt;0, "No evidence", IF(AllDataApr[[#This Row],[Nitrate (PPM)]]=0, "")))))</f>
        <v>Very high</v>
      </c>
      <c r="S131">
        <v>0.86</v>
      </c>
      <c r="T131" s="7" t="str">
        <f>IF(AllDataApr[[#This Row],[Phosphate (PPM)]]&gt;0.5, "Very high", IF(AllDataApr[[#This Row],[Phosphate (PPM)]]&gt;0.1, "High", IF(AllDataApr[[#This Row],[Phosphate (PPM)]]&gt;0.05, "Some evidence", IF(AllDataApr[[#This Row],[Phosphate (PPM)]]=0, ""))))</f>
        <v>Very high</v>
      </c>
      <c r="U131">
        <v>0.9</v>
      </c>
    </row>
    <row r="132" spans="1:22" x14ac:dyDescent="0.3">
      <c r="A132" t="s">
        <v>774</v>
      </c>
      <c r="B132" s="2">
        <v>45213</v>
      </c>
      <c r="C132" s="2" t="str" cm="1">
        <f t="array" ref="C13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32">
        <f>YEAR(AllDataApr[[#This Row],[Date]])</f>
        <v>2023</v>
      </c>
      <c r="E132" s="1">
        <v>0.52916666666666667</v>
      </c>
      <c r="F132" s="2" t="str">
        <f>IF(AND(AllDataApr[[#This Row],[Time]]&lt;0.5, AllDataApr[[#This Row],[Time]]&gt;0.17)=TRUE, "Morning", IF(AND(AllDataApr[[#This Row],[Time]]&lt;0.75, AllDataApr[[#This Row],[Time]]&gt;=0.5)=TRUE, "Afternoon", IF(AND(AllDataApr[[#This Row],[Time]]&lt;1, AllDataApr[[#This Row],[Time]]&gt;=0.75)=TRUE, "Evening", "Night")))</f>
        <v>Afternoon</v>
      </c>
      <c r="G132" t="s">
        <v>52</v>
      </c>
      <c r="H132" t="str">
        <f>_xlfn.XLOOKUP(AllDataApr[[#This Row],[Location Name]], Locations[Row Labels],Locations[Group As])</f>
        <v>Carrant Bredon Rd</v>
      </c>
      <c r="I132" t="str">
        <f>_xlfn.XLOOKUP(AllDataApr[[#This Row],[Site Name]],LocationsKey[Site Name],LocationsKey[Region])</f>
        <v>Tewkesbury</v>
      </c>
      <c r="J132" t="str">
        <f>_xlfn.XLOOKUP(AllDataApr[[#This Row],[Site Name]],LocationsKey[Site Name], LocationsKey[Waterway])</f>
        <v>Carrant</v>
      </c>
      <c r="K132" t="s">
        <v>53</v>
      </c>
      <c r="L132">
        <v>51.994807999999999</v>
      </c>
      <c r="M132">
        <v>-2.151078</v>
      </c>
      <c r="N132" t="s">
        <v>200</v>
      </c>
      <c r="O132">
        <v>694</v>
      </c>
      <c r="P132">
        <v>14.1</v>
      </c>
      <c r="Q132">
        <v>7</v>
      </c>
      <c r="R132" s="7" t="str">
        <f>IF(AllDataApr[[#This Row],[Nitrate (PPM)]]&gt;2, "Very high", IF(AllDataApr[[#This Row],[Nitrate (PPM)]]&gt;1, "High", IF(AllDataApr[[#This Row],[Nitrate (PPM)]]&gt;0.5, "Some evidence", IF(AllDataApr[[#This Row],[Nitrate (PPM)]]&gt;0, "No evidence", IF(AllDataApr[[#This Row],[Nitrate (PPM)]]=0, "")))))</f>
        <v>Very high</v>
      </c>
      <c r="S132">
        <v>0.93</v>
      </c>
      <c r="T132" s="7" t="str">
        <f>IF(AllDataApr[[#This Row],[Phosphate (PPM)]]&gt;0.5, "Very high", IF(AllDataApr[[#This Row],[Phosphate (PPM)]]&gt;0.1, "High", IF(AllDataApr[[#This Row],[Phosphate (PPM)]]&gt;0.05, "Some evidence", IF(AllDataApr[[#This Row],[Phosphate (PPM)]]=0, ""))))</f>
        <v>Very high</v>
      </c>
      <c r="U132">
        <v>0.3</v>
      </c>
      <c r="V132" t="s">
        <v>105</v>
      </c>
    </row>
    <row r="133" spans="1:22" x14ac:dyDescent="0.3">
      <c r="A133" t="s">
        <v>776</v>
      </c>
      <c r="B133" s="2">
        <v>45213</v>
      </c>
      <c r="C133" s="2" t="str" cm="1">
        <f t="array" ref="C13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33">
        <f>YEAR(AllDataApr[[#This Row],[Date]])</f>
        <v>2023</v>
      </c>
      <c r="E133" s="1">
        <v>0.625</v>
      </c>
      <c r="F133" s="2" t="str">
        <f>IF(AND(AllDataApr[[#This Row],[Time]]&lt;0.5, AllDataApr[[#This Row],[Time]]&gt;0.17)=TRUE, "Morning", IF(AND(AllDataApr[[#This Row],[Time]]&lt;0.75, AllDataApr[[#This Row],[Time]]&gt;=0.5)=TRUE, "Afternoon", IF(AND(AllDataApr[[#This Row],[Time]]&lt;1, AllDataApr[[#This Row],[Time]]&gt;=0.75)=TRUE, "Evening", "Night")))</f>
        <v>Afternoon</v>
      </c>
      <c r="G133" t="s">
        <v>11</v>
      </c>
      <c r="H133" t="str">
        <f>_xlfn.XLOOKUP(AllDataApr[[#This Row],[Location Name]], Locations[Row Labels],Locations[Group As])</f>
        <v>Abbey Mill</v>
      </c>
      <c r="I133" t="str">
        <f>_xlfn.XLOOKUP(AllDataApr[[#This Row],[Site Name]],LocationsKey[Site Name],LocationsKey[Region])</f>
        <v>Tewkesbury</v>
      </c>
      <c r="J133" t="str">
        <f>_xlfn.XLOOKUP(AllDataApr[[#This Row],[Site Name]],LocationsKey[Site Name], LocationsKey[Waterway])</f>
        <v>Avon</v>
      </c>
      <c r="K133" t="s">
        <v>12</v>
      </c>
      <c r="N133" t="s">
        <v>200</v>
      </c>
      <c r="O133">
        <v>906</v>
      </c>
      <c r="P133">
        <v>15.6</v>
      </c>
      <c r="Q133">
        <v>9</v>
      </c>
      <c r="R133" s="7" t="str">
        <f>IF(AllDataApr[[#This Row],[Nitrate (PPM)]]&gt;2, "Very high", IF(AllDataApr[[#This Row],[Nitrate (PPM)]]&gt;1, "High", IF(AllDataApr[[#This Row],[Nitrate (PPM)]]&gt;0.5, "Some evidence", IF(AllDataApr[[#This Row],[Nitrate (PPM)]]&gt;0, "No evidence", IF(AllDataApr[[#This Row],[Nitrate (PPM)]]=0, "")))))</f>
        <v>Very high</v>
      </c>
      <c r="S133">
        <v>1.1499999999999999</v>
      </c>
      <c r="T133" s="7" t="str">
        <f>IF(AllDataApr[[#This Row],[Phosphate (PPM)]]&gt;0.5, "Very high", IF(AllDataApr[[#This Row],[Phosphate (PPM)]]&gt;0.1, "High", IF(AllDataApr[[#This Row],[Phosphate (PPM)]]&gt;0.05, "Some evidence", IF(AllDataApr[[#This Row],[Phosphate (PPM)]]=0, ""))))</f>
        <v>Very high</v>
      </c>
      <c r="U133">
        <v>1</v>
      </c>
      <c r="V133" t="s">
        <v>106</v>
      </c>
    </row>
    <row r="134" spans="1:22" x14ac:dyDescent="0.3">
      <c r="A134" t="s">
        <v>769</v>
      </c>
      <c r="B134" s="2">
        <v>45214</v>
      </c>
      <c r="C134" s="2" t="str" cm="1">
        <f t="array" ref="C13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34">
        <f>YEAR(AllDataApr[[#This Row],[Date]])</f>
        <v>2023</v>
      </c>
      <c r="E134" s="1">
        <v>0.4375</v>
      </c>
      <c r="F134" s="2" t="str">
        <f>IF(AND(AllDataApr[[#This Row],[Time]]&lt;0.5, AllDataApr[[#This Row],[Time]]&gt;0.17)=TRUE, "Morning", IF(AND(AllDataApr[[#This Row],[Time]]&lt;0.75, AllDataApr[[#This Row],[Time]]&gt;=0.5)=TRUE, "Afternoon", IF(AND(AllDataApr[[#This Row],[Time]]&lt;1, AllDataApr[[#This Row],[Time]]&gt;=0.75)=TRUE, "Evening", "Night")))</f>
        <v>Morning</v>
      </c>
      <c r="G134" t="s">
        <v>20</v>
      </c>
      <c r="H134" t="str">
        <f>_xlfn.XLOOKUP(AllDataApr[[#This Row],[Location Name]], Locations[Row Labels],Locations[Group As])</f>
        <v>Hampton Wood</v>
      </c>
      <c r="I134" t="str">
        <f>_xlfn.XLOOKUP(AllDataApr[[#This Row],[Site Name]],LocationsKey[Site Name],LocationsKey[Region])</f>
        <v>Stratford</v>
      </c>
      <c r="J134" t="str">
        <f>_xlfn.XLOOKUP(AllDataApr[[#This Row],[Site Name]],LocationsKey[Site Name], LocationsKey[Waterway])</f>
        <v>Avon</v>
      </c>
      <c r="K134" t="s">
        <v>25</v>
      </c>
      <c r="L134">
        <v>52.238149999999997</v>
      </c>
      <c r="M134">
        <v>-1.6245799999999999</v>
      </c>
      <c r="N134" t="s">
        <v>18</v>
      </c>
      <c r="O134">
        <v>608</v>
      </c>
      <c r="P134">
        <v>12.6</v>
      </c>
      <c r="Q134">
        <v>4</v>
      </c>
      <c r="R134" s="7" t="str">
        <f>IF(AllDataApr[[#This Row],[Nitrate (PPM)]]&gt;2, "Very high", IF(AllDataApr[[#This Row],[Nitrate (PPM)]]&gt;1, "High", IF(AllDataApr[[#This Row],[Nitrate (PPM)]]&gt;0.5, "Some evidence", IF(AllDataApr[[#This Row],[Nitrate (PPM)]]&gt;0, "No evidence", IF(AllDataApr[[#This Row],[Nitrate (PPM)]]=0, "")))))</f>
        <v>Very high</v>
      </c>
      <c r="S134">
        <v>0.74</v>
      </c>
      <c r="T134" s="7" t="str">
        <f>IF(AllDataApr[[#This Row],[Phosphate (PPM)]]&gt;0.5, "Very high", IF(AllDataApr[[#This Row],[Phosphate (PPM)]]&gt;0.1, "High", IF(AllDataApr[[#This Row],[Phosphate (PPM)]]&gt;0.05, "Some evidence", IF(AllDataApr[[#This Row],[Phosphate (PPM)]]=0, ""))))</f>
        <v>Very high</v>
      </c>
      <c r="U134">
        <v>0</v>
      </c>
      <c r="V134" t="s">
        <v>110</v>
      </c>
    </row>
    <row r="135" spans="1:22" x14ac:dyDescent="0.3">
      <c r="A135" t="s">
        <v>768</v>
      </c>
      <c r="B135" s="2">
        <v>45214</v>
      </c>
      <c r="C135" s="2" t="str" cm="1">
        <f t="array" ref="C13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35">
        <f>YEAR(AllDataApr[[#This Row],[Date]])</f>
        <v>2023</v>
      </c>
      <c r="E135" s="1">
        <v>0.51041666666666663</v>
      </c>
      <c r="F135" s="2" t="str">
        <f>IF(AND(AllDataApr[[#This Row],[Time]]&lt;0.5, AllDataApr[[#This Row],[Time]]&gt;0.17)=TRUE, "Morning", IF(AND(AllDataApr[[#This Row],[Time]]&lt;0.75, AllDataApr[[#This Row],[Time]]&gt;=0.5)=TRUE, "Afternoon", IF(AND(AllDataApr[[#This Row],[Time]]&lt;1, AllDataApr[[#This Row],[Time]]&gt;=0.75)=TRUE, "Evening", "Night")))</f>
        <v>Afternoon</v>
      </c>
      <c r="G135" t="s">
        <v>95</v>
      </c>
      <c r="H135" t="str">
        <f>_xlfn.XLOOKUP(AllDataApr[[#This Row],[Location Name]], Locations[Row Labels],Locations[Group As])</f>
        <v>Hampton Lucy</v>
      </c>
      <c r="I135" t="str">
        <f>_xlfn.XLOOKUP(AllDataApr[[#This Row],[Site Name]],LocationsKey[Site Name],LocationsKey[Region])</f>
        <v>Stratford</v>
      </c>
      <c r="J135" t="str">
        <f>_xlfn.XLOOKUP(AllDataApr[[#This Row],[Site Name]],LocationsKey[Site Name], LocationsKey[Waterway])</f>
        <v>Avon</v>
      </c>
      <c r="K135" t="s">
        <v>27</v>
      </c>
      <c r="L135">
        <v>52.211680000000001</v>
      </c>
      <c r="M135">
        <v>-1.6244400000000001</v>
      </c>
      <c r="N135" t="s">
        <v>200</v>
      </c>
      <c r="O135">
        <v>586</v>
      </c>
      <c r="P135">
        <v>13.1</v>
      </c>
      <c r="Q135">
        <v>3</v>
      </c>
      <c r="R135" s="7" t="str">
        <f>IF(AllDataApr[[#This Row],[Nitrate (PPM)]]&gt;2, "Very high", IF(AllDataApr[[#This Row],[Nitrate (PPM)]]&gt;1, "High", IF(AllDataApr[[#This Row],[Nitrate (PPM)]]&gt;0.5, "Some evidence", IF(AllDataApr[[#This Row],[Nitrate (PPM)]]&gt;0, "No evidence", IF(AllDataApr[[#This Row],[Nitrate (PPM)]]=0, "")))))</f>
        <v>Very high</v>
      </c>
      <c r="S135">
        <v>0.6</v>
      </c>
      <c r="T135" s="7" t="str">
        <f>IF(AllDataApr[[#This Row],[Phosphate (PPM)]]&gt;0.5, "Very high", IF(AllDataApr[[#This Row],[Phosphate (PPM)]]&gt;0.1, "High", IF(AllDataApr[[#This Row],[Phosphate (PPM)]]&gt;0.05, "Some evidence", IF(AllDataApr[[#This Row],[Phosphate (PPM)]]=0, ""))))</f>
        <v>Very high</v>
      </c>
      <c r="U135">
        <v>0</v>
      </c>
      <c r="V135" t="s">
        <v>109</v>
      </c>
    </row>
    <row r="136" spans="1:22" x14ac:dyDescent="0.3">
      <c r="A136" t="s">
        <v>767</v>
      </c>
      <c r="B136" s="2">
        <v>45214</v>
      </c>
      <c r="C136" s="2" t="str" cm="1">
        <f t="array" ref="C13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36">
        <f>YEAR(AllDataApr[[#This Row],[Date]])</f>
        <v>2023</v>
      </c>
      <c r="E136" s="1">
        <v>0.66666666666666663</v>
      </c>
      <c r="F136" s="2" t="str">
        <f>IF(AND(AllDataApr[[#This Row],[Time]]&lt;0.5, AllDataApr[[#This Row],[Time]]&gt;0.17)=TRUE, "Morning", IF(AND(AllDataApr[[#This Row],[Time]]&lt;0.75, AllDataApr[[#This Row],[Time]]&gt;=0.5)=TRUE, "Afternoon", IF(AND(AllDataApr[[#This Row],[Time]]&lt;1, AllDataApr[[#This Row],[Time]]&gt;=0.75)=TRUE, "Evening", "Night")))</f>
        <v>Afternoon</v>
      </c>
      <c r="G136" t="s">
        <v>35</v>
      </c>
      <c r="H136" t="str">
        <f>_xlfn.XLOOKUP(AllDataApr[[#This Row],[Location Name]], Locations[Row Labels],Locations[Group As])</f>
        <v>Welford Boat Station</v>
      </c>
      <c r="I136" t="str">
        <f>_xlfn.XLOOKUP(AllDataApr[[#This Row],[Site Name]],LocationsKey[Site Name],LocationsKey[Region])</f>
        <v>Stratford</v>
      </c>
      <c r="J136" t="str">
        <f>_xlfn.XLOOKUP(AllDataApr[[#This Row],[Site Name]],LocationsKey[Site Name], LocationsKey[Waterway])</f>
        <v>Avon</v>
      </c>
      <c r="K136" t="s">
        <v>22</v>
      </c>
      <c r="L136">
        <v>52.175240000000002</v>
      </c>
      <c r="M136">
        <v>-1.7918700000000001</v>
      </c>
      <c r="N136" t="s">
        <v>18</v>
      </c>
      <c r="O136">
        <v>582</v>
      </c>
      <c r="P136">
        <v>13.2</v>
      </c>
      <c r="Q136">
        <v>2</v>
      </c>
      <c r="R136" s="7" t="str">
        <f>IF(AllDataApr[[#This Row],[Nitrate (PPM)]]&gt;2, "Very high", IF(AllDataApr[[#This Row],[Nitrate (PPM)]]&gt;1, "High", IF(AllDataApr[[#This Row],[Nitrate (PPM)]]&gt;0.5, "Some evidence", IF(AllDataApr[[#This Row],[Nitrate (PPM)]]&gt;0, "No evidence", IF(AllDataApr[[#This Row],[Nitrate (PPM)]]=0, "")))))</f>
        <v>High</v>
      </c>
      <c r="S136">
        <v>0.78</v>
      </c>
      <c r="T136" s="7" t="str">
        <f>IF(AllDataApr[[#This Row],[Phosphate (PPM)]]&gt;0.5, "Very high", IF(AllDataApr[[#This Row],[Phosphate (PPM)]]&gt;0.1, "High", IF(AllDataApr[[#This Row],[Phosphate (PPM)]]&gt;0.05, "Some evidence", IF(AllDataApr[[#This Row],[Phosphate (PPM)]]=0, ""))))</f>
        <v>Very high</v>
      </c>
      <c r="U136">
        <v>0</v>
      </c>
      <c r="V136" t="s">
        <v>108</v>
      </c>
    </row>
    <row r="137" spans="1:22" x14ac:dyDescent="0.3">
      <c r="A137" t="s">
        <v>766</v>
      </c>
      <c r="B137" s="2">
        <v>45215</v>
      </c>
      <c r="C137" s="2" t="str" cm="1">
        <f t="array" ref="C13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37">
        <f>YEAR(AllDataApr[[#This Row],[Date]])</f>
        <v>2023</v>
      </c>
      <c r="E137" s="1">
        <v>0.625</v>
      </c>
      <c r="F137" s="2" t="str">
        <f>IF(AND(AllDataApr[[#This Row],[Time]]&lt;0.5, AllDataApr[[#This Row],[Time]]&gt;0.17)=TRUE, "Morning", IF(AND(AllDataApr[[#This Row],[Time]]&lt;0.75, AllDataApr[[#This Row],[Time]]&gt;=0.5)=TRUE, "Afternoon", IF(AND(AllDataApr[[#This Row],[Time]]&lt;1, AllDataApr[[#This Row],[Time]]&gt;=0.75)=TRUE, "Evening", "Night")))</f>
        <v>Afternoon</v>
      </c>
      <c r="G137" t="s">
        <v>20</v>
      </c>
      <c r="H137" t="str">
        <f>_xlfn.XLOOKUP(AllDataApr[[#This Row],[Location Name]], Locations[Row Labels],Locations[Group As])</f>
        <v>Weston-on-Avon</v>
      </c>
      <c r="I137" t="str">
        <f>_xlfn.XLOOKUP(AllDataApr[[#This Row],[Site Name]],LocationsKey[Site Name],LocationsKey[Region])</f>
        <v>Stratford</v>
      </c>
      <c r="J137" t="str">
        <f>_xlfn.XLOOKUP(AllDataApr[[#This Row],[Site Name]],LocationsKey[Site Name], LocationsKey[Waterway])</f>
        <v>Avon</v>
      </c>
      <c r="K137" t="s">
        <v>23</v>
      </c>
      <c r="L137">
        <v>52.167430000000003</v>
      </c>
      <c r="M137">
        <v>-1.7744800000000001</v>
      </c>
      <c r="N137" t="s">
        <v>18</v>
      </c>
      <c r="O137">
        <v>696</v>
      </c>
      <c r="P137">
        <v>12</v>
      </c>
      <c r="Q137">
        <v>4</v>
      </c>
      <c r="R137" s="7" t="str">
        <f>IF(AllDataApr[[#This Row],[Nitrate (PPM)]]&gt;2, "Very high", IF(AllDataApr[[#This Row],[Nitrate (PPM)]]&gt;1, "High", IF(AllDataApr[[#This Row],[Nitrate (PPM)]]&gt;0.5, "Some evidence", IF(AllDataApr[[#This Row],[Nitrate (PPM)]]&gt;0, "No evidence", IF(AllDataApr[[#This Row],[Nitrate (PPM)]]=0, "")))))</f>
        <v>Very high</v>
      </c>
      <c r="S137">
        <v>0.64</v>
      </c>
      <c r="T137" s="7" t="str">
        <f>IF(AllDataApr[[#This Row],[Phosphate (PPM)]]&gt;0.5, "Very high", IF(AllDataApr[[#This Row],[Phosphate (PPM)]]&gt;0.1, "High", IF(AllDataApr[[#This Row],[Phosphate (PPM)]]&gt;0.05, "Some evidence", IF(AllDataApr[[#This Row],[Phosphate (PPM)]]=0, ""))))</f>
        <v>Very high</v>
      </c>
      <c r="U137">
        <v>0</v>
      </c>
      <c r="V137" t="s">
        <v>111</v>
      </c>
    </row>
    <row r="138" spans="1:22" x14ac:dyDescent="0.3">
      <c r="A138" t="s">
        <v>773</v>
      </c>
      <c r="B138" s="2">
        <v>45216</v>
      </c>
      <c r="C138" s="2" t="str" cm="1">
        <f t="array" ref="C13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38">
        <f>YEAR(AllDataApr[[#This Row],[Date]])</f>
        <v>2023</v>
      </c>
      <c r="E138" s="1">
        <v>0.42708333333333331</v>
      </c>
      <c r="F138" s="2" t="str">
        <f>IF(AND(AllDataApr[[#This Row],[Time]]&lt;0.5, AllDataApr[[#This Row],[Time]]&gt;0.17)=TRUE, "Morning", IF(AND(AllDataApr[[#This Row],[Time]]&lt;0.75, AllDataApr[[#This Row],[Time]]&gt;=0.5)=TRUE, "Afternoon", IF(AND(AllDataApr[[#This Row],[Time]]&lt;1, AllDataApr[[#This Row],[Time]]&gt;=0.75)=TRUE, "Evening", "Night")))</f>
        <v>Morning</v>
      </c>
      <c r="G138" t="s">
        <v>112</v>
      </c>
      <c r="H138" t="str">
        <f>_xlfn.XLOOKUP(AllDataApr[[#This Row],[Location Name]], Locations[Row Labels],Locations[Group As])</f>
        <v>Clifford Chambers Mill Bridge</v>
      </c>
      <c r="I138" t="str">
        <f>_xlfn.XLOOKUP(AllDataApr[[#This Row],[Site Name]],LocationsKey[Site Name],LocationsKey[Region])</f>
        <v>Stratford</v>
      </c>
      <c r="J138" t="str">
        <f>_xlfn.XLOOKUP(AllDataApr[[#This Row],[Site Name]],LocationsKey[Site Name], LocationsKey[Waterway])</f>
        <v>Stour</v>
      </c>
      <c r="K138" t="s">
        <v>113</v>
      </c>
      <c r="L138">
        <v>52.166370000000001</v>
      </c>
      <c r="M138">
        <v>-1.708032</v>
      </c>
      <c r="O138">
        <v>599</v>
      </c>
      <c r="P138">
        <v>12.6</v>
      </c>
      <c r="Q138">
        <v>8</v>
      </c>
      <c r="R138" s="7" t="str">
        <f>IF(AllDataApr[[#This Row],[Nitrate (PPM)]]&gt;2, "Very high", IF(AllDataApr[[#This Row],[Nitrate (PPM)]]&gt;1, "High", IF(AllDataApr[[#This Row],[Nitrate (PPM)]]&gt;0.5, "Some evidence", IF(AllDataApr[[#This Row],[Nitrate (PPM)]]&gt;0, "No evidence", IF(AllDataApr[[#This Row],[Nitrate (PPM)]]=0, "")))))</f>
        <v>Very high</v>
      </c>
      <c r="S138">
        <v>0.42</v>
      </c>
      <c r="T138" s="7" t="str">
        <f>IF(AllDataApr[[#This Row],[Phosphate (PPM)]]&gt;0.5, "Very high", IF(AllDataApr[[#This Row],[Phosphate (PPM)]]&gt;0.1, "High", IF(AllDataApr[[#This Row],[Phosphate (PPM)]]&gt;0.05, "Some evidence", IF(AllDataApr[[#This Row],[Phosphate (PPM)]]=0, ""))))</f>
        <v>High</v>
      </c>
      <c r="U138">
        <v>0.5</v>
      </c>
    </row>
    <row r="139" spans="1:22" x14ac:dyDescent="0.3">
      <c r="A139" t="s">
        <v>763</v>
      </c>
      <c r="B139" s="2">
        <v>45217</v>
      </c>
      <c r="C139" s="2" t="str" cm="1">
        <f t="array" ref="C13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39">
        <f>YEAR(AllDataApr[[#This Row],[Date]])</f>
        <v>2023</v>
      </c>
      <c r="E139" s="1">
        <v>0.66666666666666663</v>
      </c>
      <c r="F139" s="2" t="str">
        <f>IF(AND(AllDataApr[[#This Row],[Time]]&lt;0.5, AllDataApr[[#This Row],[Time]]&gt;0.17)=TRUE, "Morning", IF(AND(AllDataApr[[#This Row],[Time]]&lt;0.75, AllDataApr[[#This Row],[Time]]&gt;=0.5)=TRUE, "Afternoon", IF(AND(AllDataApr[[#This Row],[Time]]&lt;1, AllDataApr[[#This Row],[Time]]&gt;=0.75)=TRUE, "Evening", "Night")))</f>
        <v>Afternoon</v>
      </c>
      <c r="G139" t="s">
        <v>57</v>
      </c>
      <c r="H139" t="str">
        <f>_xlfn.XLOOKUP(AllDataApr[[#This Row],[Location Name]], Locations[Row Labels],Locations[Group As])</f>
        <v>Stour Newbold Mill</v>
      </c>
      <c r="I139" t="str">
        <f>_xlfn.XLOOKUP(AllDataApr[[#This Row],[Site Name]],LocationsKey[Site Name],LocationsKey[Region])</f>
        <v>Shipston</v>
      </c>
      <c r="J139" t="str">
        <f>_xlfn.XLOOKUP(AllDataApr[[#This Row],[Site Name]],LocationsKey[Site Name], LocationsKey[Waterway])</f>
        <v>Stour</v>
      </c>
      <c r="K139" t="s">
        <v>92</v>
      </c>
      <c r="L139">
        <v>52.112833000000002</v>
      </c>
      <c r="M139">
        <v>-1.6334340000000001</v>
      </c>
      <c r="N139" t="s">
        <v>18</v>
      </c>
      <c r="O139">
        <v>674</v>
      </c>
      <c r="P139">
        <v>11.7</v>
      </c>
      <c r="Q139">
        <v>5</v>
      </c>
      <c r="R139" s="7" t="str">
        <f>IF(AllDataApr[[#This Row],[Nitrate (PPM)]]&gt;2, "Very high", IF(AllDataApr[[#This Row],[Nitrate (PPM)]]&gt;1, "High", IF(AllDataApr[[#This Row],[Nitrate (PPM)]]&gt;0.5, "Some evidence", IF(AllDataApr[[#This Row],[Nitrate (PPM)]]&gt;0, "No evidence", IF(AllDataApr[[#This Row],[Nitrate (PPM)]]=0, "")))))</f>
        <v>Very high</v>
      </c>
      <c r="S139">
        <v>0.52</v>
      </c>
      <c r="T139" s="7" t="str">
        <f>IF(AllDataApr[[#This Row],[Phosphate (PPM)]]&gt;0.5, "Very high", IF(AllDataApr[[#This Row],[Phosphate (PPM)]]&gt;0.1, "High", IF(AllDataApr[[#This Row],[Phosphate (PPM)]]&gt;0.05, "Some evidence", IF(AllDataApr[[#This Row],[Phosphate (PPM)]]=0, ""))))</f>
        <v>Very high</v>
      </c>
      <c r="U139">
        <v>2</v>
      </c>
      <c r="V139" t="s">
        <v>114</v>
      </c>
    </row>
    <row r="140" spans="1:22" x14ac:dyDescent="0.3">
      <c r="A140" t="s">
        <v>771</v>
      </c>
      <c r="B140" s="2">
        <v>45218</v>
      </c>
      <c r="C140" s="2" t="str" cm="1">
        <f t="array" ref="C14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40">
        <f>YEAR(AllDataApr[[#This Row],[Date]])</f>
        <v>2023</v>
      </c>
      <c r="E140" s="1">
        <v>0.42708333333333331</v>
      </c>
      <c r="F140" s="2" t="str">
        <f>IF(AND(AllDataApr[[#This Row],[Time]]&lt;0.5, AllDataApr[[#This Row],[Time]]&gt;0.17)=TRUE, "Morning", IF(AND(AllDataApr[[#This Row],[Time]]&lt;0.75, AllDataApr[[#This Row],[Time]]&gt;=0.5)=TRUE, "Afternoon", IF(AND(AllDataApr[[#This Row],[Time]]&lt;1, AllDataApr[[#This Row],[Time]]&gt;=0.75)=TRUE, "Evening", "Night")))</f>
        <v>Morning</v>
      </c>
      <c r="G140" t="s">
        <v>46</v>
      </c>
      <c r="H140" t="str">
        <f>_xlfn.XLOOKUP(AllDataApr[[#This Row],[Location Name]], Locations[Row Labels],Locations[Group As])</f>
        <v>Swilgate</v>
      </c>
      <c r="I140" t="str">
        <f>_xlfn.XLOOKUP(AllDataApr[[#This Row],[Site Name]],LocationsKey[Site Name],LocationsKey[Region])</f>
        <v>Tewkesbury</v>
      </c>
      <c r="J140" t="str">
        <f>_xlfn.XLOOKUP(AllDataApr[[#This Row],[Site Name]],LocationsKey[Site Name], LocationsKey[Waterway])</f>
        <v>Swilgate</v>
      </c>
      <c r="K140" t="s">
        <v>47</v>
      </c>
      <c r="N140" t="s">
        <v>200</v>
      </c>
      <c r="O140">
        <v>542</v>
      </c>
      <c r="P140">
        <v>14.6</v>
      </c>
      <c r="Q140">
        <v>6</v>
      </c>
      <c r="R140" s="7" t="str">
        <f>IF(AllDataApr[[#This Row],[Nitrate (PPM)]]&gt;2, "Very high", IF(AllDataApr[[#This Row],[Nitrate (PPM)]]&gt;1, "High", IF(AllDataApr[[#This Row],[Nitrate (PPM)]]&gt;0.5, "Some evidence", IF(AllDataApr[[#This Row],[Nitrate (PPM)]]&gt;0, "No evidence", IF(AllDataApr[[#This Row],[Nitrate (PPM)]]=0, "")))))</f>
        <v>Very high</v>
      </c>
      <c r="S140">
        <v>0.6</v>
      </c>
      <c r="T140" s="7" t="str">
        <f>IF(AllDataApr[[#This Row],[Phosphate (PPM)]]&gt;0.5, "Very high", IF(AllDataApr[[#This Row],[Phosphate (PPM)]]&gt;0.1, "High", IF(AllDataApr[[#This Row],[Phosphate (PPM)]]&gt;0.05, "Some evidence", IF(AllDataApr[[#This Row],[Phosphate (PPM)]]=0, ""))))</f>
        <v>Very high</v>
      </c>
      <c r="U140">
        <v>1</v>
      </c>
      <c r="V140" t="s">
        <v>15</v>
      </c>
    </row>
    <row r="141" spans="1:22" x14ac:dyDescent="0.3">
      <c r="A141" t="s">
        <v>772</v>
      </c>
      <c r="B141" s="2">
        <v>45218</v>
      </c>
      <c r="C141" s="2" t="str" cm="1">
        <f t="array" ref="C14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41">
        <f>YEAR(AllDataApr[[#This Row],[Date]])</f>
        <v>2023</v>
      </c>
      <c r="E141" s="1">
        <v>0.52083333333333337</v>
      </c>
      <c r="F141" s="2" t="str">
        <f>IF(AND(AllDataApr[[#This Row],[Time]]&lt;0.5, AllDataApr[[#This Row],[Time]]&gt;0.17)=TRUE, "Morning", IF(AND(AllDataApr[[#This Row],[Time]]&lt;0.75, AllDataApr[[#This Row],[Time]]&gt;=0.5)=TRUE, "Afternoon", IF(AND(AllDataApr[[#This Row],[Time]]&lt;1, AllDataApr[[#This Row],[Time]]&gt;=0.75)=TRUE, "Evening", "Night")))</f>
        <v>Afternoon</v>
      </c>
      <c r="G141" t="s">
        <v>59</v>
      </c>
      <c r="H141" t="str">
        <f>_xlfn.XLOOKUP(AllDataApr[[#This Row],[Location Name]], Locations[Row Labels],Locations[Group As])</f>
        <v>Preston-on-Stour River Bridge</v>
      </c>
      <c r="I141" t="str">
        <f>_xlfn.XLOOKUP(AllDataApr[[#This Row],[Site Name]],LocationsKey[Site Name],LocationsKey[Region])</f>
        <v>Stratford</v>
      </c>
      <c r="J141" t="str">
        <f>_xlfn.XLOOKUP(AllDataApr[[#This Row],[Site Name]],LocationsKey[Site Name], LocationsKey[Waterway])</f>
        <v>Stour</v>
      </c>
      <c r="K141" t="s">
        <v>78</v>
      </c>
      <c r="L141">
        <v>52.146563</v>
      </c>
      <c r="M141">
        <v>-1.6999219999999999</v>
      </c>
      <c r="N141" t="s">
        <v>18</v>
      </c>
      <c r="O141">
        <v>675</v>
      </c>
      <c r="P141">
        <v>14.7</v>
      </c>
      <c r="Q141">
        <v>5</v>
      </c>
      <c r="R141" s="7" t="str">
        <f>IF(AllDataApr[[#This Row],[Nitrate (PPM)]]&gt;2, "Very high", IF(AllDataApr[[#This Row],[Nitrate (PPM)]]&gt;1, "High", IF(AllDataApr[[#This Row],[Nitrate (PPM)]]&gt;0.5, "Some evidence", IF(AllDataApr[[#This Row],[Nitrate (PPM)]]&gt;0, "No evidence", IF(AllDataApr[[#This Row],[Nitrate (PPM)]]=0, "")))))</f>
        <v>Very high</v>
      </c>
      <c r="S141">
        <v>0.61</v>
      </c>
      <c r="T141" s="7" t="str">
        <f>IF(AllDataApr[[#This Row],[Phosphate (PPM)]]&gt;0.5, "Very high", IF(AllDataApr[[#This Row],[Phosphate (PPM)]]&gt;0.1, "High", IF(AllDataApr[[#This Row],[Phosphate (PPM)]]&gt;0.05, "Some evidence", IF(AllDataApr[[#This Row],[Phosphate (PPM)]]=0, ""))))</f>
        <v>Very high</v>
      </c>
      <c r="U141">
        <v>1.5</v>
      </c>
      <c r="V141" t="s">
        <v>115</v>
      </c>
    </row>
    <row r="142" spans="1:22" x14ac:dyDescent="0.3">
      <c r="A142" t="s">
        <v>765</v>
      </c>
      <c r="B142" s="2">
        <v>45220</v>
      </c>
      <c r="C142" s="2" t="str" cm="1">
        <f t="array" ref="C14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42">
        <f>YEAR(AllDataApr[[#This Row],[Date]])</f>
        <v>2023</v>
      </c>
      <c r="E142" s="1">
        <v>0.46875</v>
      </c>
      <c r="F142" s="2" t="str">
        <f>IF(AND(AllDataApr[[#This Row],[Time]]&lt;0.5, AllDataApr[[#This Row],[Time]]&gt;0.17)=TRUE, "Morning", IF(AND(AllDataApr[[#This Row],[Time]]&lt;0.75, AllDataApr[[#This Row],[Time]]&gt;=0.5)=TRUE, "Afternoon", IF(AND(AllDataApr[[#This Row],[Time]]&lt;1, AllDataApr[[#This Row],[Time]]&gt;=0.75)=TRUE, "Evening", "Night")))</f>
        <v>Morning</v>
      </c>
      <c r="G142" t="s">
        <v>48</v>
      </c>
      <c r="H142" t="str">
        <f>_xlfn.XLOOKUP(AllDataApr[[#This Row],[Location Name]], Locations[Row Labels],Locations[Group As])</f>
        <v>Avonbank Drive</v>
      </c>
      <c r="I142" t="str">
        <f>_xlfn.XLOOKUP(AllDataApr[[#This Row],[Site Name]],LocationsKey[Site Name],LocationsKey[Region])</f>
        <v>Stratford</v>
      </c>
      <c r="J142" t="str">
        <f>_xlfn.XLOOKUP(AllDataApr[[#This Row],[Site Name]],LocationsKey[Site Name], LocationsKey[Waterway])</f>
        <v>Avon</v>
      </c>
      <c r="K142" t="s">
        <v>71</v>
      </c>
      <c r="N142" t="s">
        <v>42</v>
      </c>
      <c r="O142">
        <v>454</v>
      </c>
      <c r="P142">
        <v>14.7</v>
      </c>
      <c r="Q142">
        <v>10</v>
      </c>
      <c r="R142" s="7" t="str">
        <f>IF(AllDataApr[[#This Row],[Nitrate (PPM)]]&gt;2, "Very high", IF(AllDataApr[[#This Row],[Nitrate (PPM)]]&gt;1, "High", IF(AllDataApr[[#This Row],[Nitrate (PPM)]]&gt;0.5, "Some evidence", IF(AllDataApr[[#This Row],[Nitrate (PPM)]]&gt;0, "No evidence", IF(AllDataApr[[#This Row],[Nitrate (PPM)]]=0, "")))))</f>
        <v>Very high</v>
      </c>
      <c r="S142">
        <v>1.1000000000000001</v>
      </c>
      <c r="T142" s="7" t="str">
        <f>IF(AllDataApr[[#This Row],[Phosphate (PPM)]]&gt;0.5, "Very high", IF(AllDataApr[[#This Row],[Phosphate (PPM)]]&gt;0.1, "High", IF(AllDataApr[[#This Row],[Phosphate (PPM)]]&gt;0.05, "Some evidence", IF(AllDataApr[[#This Row],[Phosphate (PPM)]]=0, ""))))</f>
        <v>Very high</v>
      </c>
      <c r="U142">
        <v>1.1000000000000001</v>
      </c>
      <c r="V142" t="s">
        <v>116</v>
      </c>
    </row>
    <row r="143" spans="1:22" x14ac:dyDescent="0.3">
      <c r="A143" t="s">
        <v>770</v>
      </c>
      <c r="B143" s="2">
        <v>45220</v>
      </c>
      <c r="C143" s="2" t="str" cm="1">
        <f t="array" ref="C14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43">
        <f>YEAR(AllDataApr[[#This Row],[Date]])</f>
        <v>2023</v>
      </c>
      <c r="E143" s="1">
        <v>0.65625</v>
      </c>
      <c r="F143" s="2" t="str">
        <f>IF(AND(AllDataApr[[#This Row],[Time]]&lt;0.5, AllDataApr[[#This Row],[Time]]&gt;0.17)=TRUE, "Morning", IF(AND(AllDataApr[[#This Row],[Time]]&lt;0.75, AllDataApr[[#This Row],[Time]]&gt;=0.5)=TRUE, "Afternoon", IF(AND(AllDataApr[[#This Row],[Time]]&lt;1, AllDataApr[[#This Row],[Time]]&gt;=0.75)=TRUE, "Evening", "Night")))</f>
        <v>Afternoon</v>
      </c>
      <c r="G143" t="s">
        <v>11</v>
      </c>
      <c r="H143" t="str">
        <f>_xlfn.XLOOKUP(AllDataApr[[#This Row],[Location Name]], Locations[Row Labels],Locations[Group As])</f>
        <v>Abbey Mill</v>
      </c>
      <c r="I143" t="str">
        <f>_xlfn.XLOOKUP(AllDataApr[[#This Row],[Site Name]],LocationsKey[Site Name],LocationsKey[Region])</f>
        <v>Tewkesbury</v>
      </c>
      <c r="J143" t="str">
        <f>_xlfn.XLOOKUP(AllDataApr[[#This Row],[Site Name]],LocationsKey[Site Name], LocationsKey[Waterway])</f>
        <v>Avon</v>
      </c>
      <c r="K143" t="s">
        <v>12</v>
      </c>
      <c r="N143" t="s">
        <v>200</v>
      </c>
      <c r="O143">
        <v>435</v>
      </c>
      <c r="P143">
        <v>15.3</v>
      </c>
      <c r="Q143">
        <v>4</v>
      </c>
      <c r="R143" s="7" t="str">
        <f>IF(AllDataApr[[#This Row],[Nitrate (PPM)]]&gt;2, "Very high", IF(AllDataApr[[#This Row],[Nitrate (PPM)]]&gt;1, "High", IF(AllDataApr[[#This Row],[Nitrate (PPM)]]&gt;0.5, "Some evidence", IF(AllDataApr[[#This Row],[Nitrate (PPM)]]&gt;0, "No evidence", IF(AllDataApr[[#This Row],[Nitrate (PPM)]]=0, "")))))</f>
        <v>Very high</v>
      </c>
      <c r="S143">
        <v>1.1499999999999999</v>
      </c>
      <c r="T143" s="7" t="str">
        <f>IF(AllDataApr[[#This Row],[Phosphate (PPM)]]&gt;0.5, "Very high", IF(AllDataApr[[#This Row],[Phosphate (PPM)]]&gt;0.1, "High", IF(AllDataApr[[#This Row],[Phosphate (PPM)]]&gt;0.05, "Some evidence", IF(AllDataApr[[#This Row],[Phosphate (PPM)]]=0, ""))))</f>
        <v>Very high</v>
      </c>
      <c r="U143">
        <v>2</v>
      </c>
      <c r="V143" t="s">
        <v>117</v>
      </c>
    </row>
    <row r="144" spans="1:22" x14ac:dyDescent="0.3">
      <c r="A144" t="s">
        <v>742</v>
      </c>
      <c r="B144" s="2">
        <v>45221</v>
      </c>
      <c r="C144" s="2" t="str" cm="1">
        <f t="array" ref="C14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44">
        <f>YEAR(AllDataApr[[#This Row],[Date]])</f>
        <v>2023</v>
      </c>
      <c r="E144" s="1">
        <v>0.44444444444444442</v>
      </c>
      <c r="F144" s="2" t="str">
        <f>IF(AND(AllDataApr[[#This Row],[Time]]&lt;0.5, AllDataApr[[#This Row],[Time]]&gt;0.17)=TRUE, "Morning", IF(AND(AllDataApr[[#This Row],[Time]]&lt;0.75, AllDataApr[[#This Row],[Time]]&gt;=0.5)=TRUE, "Afternoon", IF(AND(AllDataApr[[#This Row],[Time]]&lt;1, AllDataApr[[#This Row],[Time]]&gt;=0.75)=TRUE, "Evening", "Night")))</f>
        <v>Morning</v>
      </c>
      <c r="G144" t="s">
        <v>20</v>
      </c>
      <c r="H144" t="str">
        <f>_xlfn.XLOOKUP(AllDataApr[[#This Row],[Location Name]], Locations[Row Labels],Locations[Group As])</f>
        <v>Hampton Wood</v>
      </c>
      <c r="I144" t="str">
        <f>_xlfn.XLOOKUP(AllDataApr[[#This Row],[Site Name]],LocationsKey[Site Name],LocationsKey[Region])</f>
        <v>Stratford</v>
      </c>
      <c r="J144" t="str">
        <f>_xlfn.XLOOKUP(AllDataApr[[#This Row],[Site Name]],LocationsKey[Site Name], LocationsKey[Waterway])</f>
        <v>Avon</v>
      </c>
      <c r="K144" t="s">
        <v>25</v>
      </c>
      <c r="L144">
        <v>52.238149999999997</v>
      </c>
      <c r="M144">
        <v>-1.6245799999999999</v>
      </c>
      <c r="N144" t="s">
        <v>18</v>
      </c>
      <c r="O144">
        <v>530</v>
      </c>
      <c r="P144">
        <v>11.5</v>
      </c>
      <c r="Q144">
        <v>3</v>
      </c>
      <c r="R144" s="7" t="str">
        <f>IF(AllDataApr[[#This Row],[Nitrate (PPM)]]&gt;2, "Very high", IF(AllDataApr[[#This Row],[Nitrate (PPM)]]&gt;1, "High", IF(AllDataApr[[#This Row],[Nitrate (PPM)]]&gt;0.5, "Some evidence", IF(AllDataApr[[#This Row],[Nitrate (PPM)]]&gt;0, "No evidence", IF(AllDataApr[[#This Row],[Nitrate (PPM)]]=0, "")))))</f>
        <v>Very high</v>
      </c>
      <c r="S144">
        <v>0.73</v>
      </c>
      <c r="T144" s="7" t="str">
        <f>IF(AllDataApr[[#This Row],[Phosphate (PPM)]]&gt;0.5, "Very high", IF(AllDataApr[[#This Row],[Phosphate (PPM)]]&gt;0.1, "High", IF(AllDataApr[[#This Row],[Phosphate (PPM)]]&gt;0.05, "Some evidence", IF(AllDataApr[[#This Row],[Phosphate (PPM)]]=0, ""))))</f>
        <v>Very high</v>
      </c>
      <c r="U144">
        <v>0</v>
      </c>
      <c r="V144" t="s">
        <v>118</v>
      </c>
    </row>
    <row r="145" spans="1:22" x14ac:dyDescent="0.3">
      <c r="A145" t="s">
        <v>739</v>
      </c>
      <c r="B145" s="2">
        <v>45221</v>
      </c>
      <c r="C145" s="2" t="str" cm="1">
        <f t="array" ref="C14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45">
        <f>YEAR(AllDataApr[[#This Row],[Date]])</f>
        <v>2023</v>
      </c>
      <c r="E145" s="1">
        <v>0.52083333333333337</v>
      </c>
      <c r="F145" s="2" t="str">
        <f>IF(AND(AllDataApr[[#This Row],[Time]]&lt;0.5, AllDataApr[[#This Row],[Time]]&gt;0.17)=TRUE, "Morning", IF(AND(AllDataApr[[#This Row],[Time]]&lt;0.75, AllDataApr[[#This Row],[Time]]&gt;=0.5)=TRUE, "Afternoon", IF(AND(AllDataApr[[#This Row],[Time]]&lt;1, AllDataApr[[#This Row],[Time]]&gt;=0.75)=TRUE, "Evening", "Night")))</f>
        <v>Afternoon</v>
      </c>
      <c r="G145" t="s">
        <v>95</v>
      </c>
      <c r="H145" t="str">
        <f>_xlfn.XLOOKUP(AllDataApr[[#This Row],[Location Name]], Locations[Row Labels],Locations[Group As])</f>
        <v>Hampton Lucy</v>
      </c>
      <c r="I145" t="str">
        <f>_xlfn.XLOOKUP(AllDataApr[[#This Row],[Site Name]],LocationsKey[Site Name],LocationsKey[Region])</f>
        <v>Stratford</v>
      </c>
      <c r="J145" t="str">
        <f>_xlfn.XLOOKUP(AllDataApr[[#This Row],[Site Name]],LocationsKey[Site Name], LocationsKey[Waterway])</f>
        <v>Avon</v>
      </c>
      <c r="K145" t="s">
        <v>27</v>
      </c>
      <c r="L145">
        <v>52.211680000000001</v>
      </c>
      <c r="M145">
        <v>-1.6244400000000001</v>
      </c>
      <c r="N145" t="s">
        <v>200</v>
      </c>
      <c r="O145">
        <v>506</v>
      </c>
      <c r="P145">
        <v>12.5</v>
      </c>
      <c r="Q145">
        <v>2</v>
      </c>
      <c r="R145" s="7" t="str">
        <f>IF(AllDataApr[[#This Row],[Nitrate (PPM)]]&gt;2, "Very high", IF(AllDataApr[[#This Row],[Nitrate (PPM)]]&gt;1, "High", IF(AllDataApr[[#This Row],[Nitrate (PPM)]]&gt;0.5, "Some evidence", IF(AllDataApr[[#This Row],[Nitrate (PPM)]]&gt;0, "No evidence", IF(AllDataApr[[#This Row],[Nitrate (PPM)]]=0, "")))))</f>
        <v>High</v>
      </c>
      <c r="S145">
        <v>0.74</v>
      </c>
      <c r="T145" s="7" t="str">
        <f>IF(AllDataApr[[#This Row],[Phosphate (PPM)]]&gt;0.5, "Very high", IF(AllDataApr[[#This Row],[Phosphate (PPM)]]&gt;0.1, "High", IF(AllDataApr[[#This Row],[Phosphate (PPM)]]&gt;0.05, "Some evidence", IF(AllDataApr[[#This Row],[Phosphate (PPM)]]=0, ""))))</f>
        <v>Very high</v>
      </c>
      <c r="U145">
        <v>0</v>
      </c>
    </row>
    <row r="146" spans="1:22" x14ac:dyDescent="0.3">
      <c r="A146" t="s">
        <v>764</v>
      </c>
      <c r="B146" s="2">
        <v>45221</v>
      </c>
      <c r="C146" s="2" t="str" cm="1">
        <f t="array" ref="C14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46">
        <f>YEAR(AllDataApr[[#This Row],[Date]])</f>
        <v>2023</v>
      </c>
      <c r="E146" s="1">
        <v>0.71597222222222223</v>
      </c>
      <c r="F146" s="2" t="str">
        <f>IF(AND(AllDataApr[[#This Row],[Time]]&lt;0.5, AllDataApr[[#This Row],[Time]]&gt;0.17)=TRUE, "Morning", IF(AND(AllDataApr[[#This Row],[Time]]&lt;0.75, AllDataApr[[#This Row],[Time]]&gt;=0.5)=TRUE, "Afternoon", IF(AND(AllDataApr[[#This Row],[Time]]&lt;1, AllDataApr[[#This Row],[Time]]&gt;=0.75)=TRUE, "Evening", "Night")))</f>
        <v>Afternoon</v>
      </c>
      <c r="G146" t="s">
        <v>112</v>
      </c>
      <c r="H146" t="str">
        <f>_xlfn.XLOOKUP(AllDataApr[[#This Row],[Location Name]], Locations[Row Labels],Locations[Group As])</f>
        <v>Clifford Chambers Mill Bridge</v>
      </c>
      <c r="I146" t="str">
        <f>_xlfn.XLOOKUP(AllDataApr[[#This Row],[Site Name]],LocationsKey[Site Name],LocationsKey[Region])</f>
        <v>Stratford</v>
      </c>
      <c r="J146" t="str">
        <f>_xlfn.XLOOKUP(AllDataApr[[#This Row],[Site Name]],LocationsKey[Site Name], LocationsKey[Waterway])</f>
        <v>Stour</v>
      </c>
      <c r="K146" t="s">
        <v>119</v>
      </c>
      <c r="L146">
        <v>52.166370000000001</v>
      </c>
      <c r="M146">
        <v>-1.708032</v>
      </c>
      <c r="O146">
        <v>521</v>
      </c>
      <c r="P146">
        <v>14.5</v>
      </c>
      <c r="Q146">
        <v>5</v>
      </c>
      <c r="R146" s="7" t="str">
        <f>IF(AllDataApr[[#This Row],[Nitrate (PPM)]]&gt;2, "Very high", IF(AllDataApr[[#This Row],[Nitrate (PPM)]]&gt;1, "High", IF(AllDataApr[[#This Row],[Nitrate (PPM)]]&gt;0.5, "Some evidence", IF(AllDataApr[[#This Row],[Nitrate (PPM)]]&gt;0, "No evidence", IF(AllDataApr[[#This Row],[Nitrate (PPM)]]=0, "")))))</f>
        <v>Very high</v>
      </c>
      <c r="S146">
        <v>0.28000000000000003</v>
      </c>
      <c r="T146" s="7" t="str">
        <f>IF(AllDataApr[[#This Row],[Phosphate (PPM)]]&gt;0.5, "Very high", IF(AllDataApr[[#This Row],[Phosphate (PPM)]]&gt;0.1, "High", IF(AllDataApr[[#This Row],[Phosphate (PPM)]]&gt;0.05, "Some evidence", IF(AllDataApr[[#This Row],[Phosphate (PPM)]]=0, ""))))</f>
        <v>High</v>
      </c>
      <c r="U146">
        <v>1.25</v>
      </c>
      <c r="V146" t="s">
        <v>120</v>
      </c>
    </row>
    <row r="147" spans="1:22" x14ac:dyDescent="0.3">
      <c r="A147" t="s">
        <v>735</v>
      </c>
      <c r="B147" s="2">
        <v>45223</v>
      </c>
      <c r="C147" s="2" t="str" cm="1">
        <f t="array" ref="C14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47">
        <f>YEAR(AllDataApr[[#This Row],[Date]])</f>
        <v>2023</v>
      </c>
      <c r="E147" s="1">
        <v>0.64583333333333337</v>
      </c>
      <c r="F147" s="2" t="str">
        <f>IF(AND(AllDataApr[[#This Row],[Time]]&lt;0.5, AllDataApr[[#This Row],[Time]]&gt;0.17)=TRUE, "Morning", IF(AND(AllDataApr[[#This Row],[Time]]&lt;0.75, AllDataApr[[#This Row],[Time]]&gt;=0.5)=TRUE, "Afternoon", IF(AND(AllDataApr[[#This Row],[Time]]&lt;1, AllDataApr[[#This Row],[Time]]&gt;=0.75)=TRUE, "Evening", "Night")))</f>
        <v>Afternoon</v>
      </c>
      <c r="G147" t="s">
        <v>20</v>
      </c>
      <c r="H147" t="str">
        <f>_xlfn.XLOOKUP(AllDataApr[[#This Row],[Location Name]], Locations[Row Labels],Locations[Group As])</f>
        <v>Weston-on-Avon</v>
      </c>
      <c r="I147" t="str">
        <f>_xlfn.XLOOKUP(AllDataApr[[#This Row],[Site Name]],LocationsKey[Site Name],LocationsKey[Region])</f>
        <v>Stratford</v>
      </c>
      <c r="J147" t="str">
        <f>_xlfn.XLOOKUP(AllDataApr[[#This Row],[Site Name]],LocationsKey[Site Name], LocationsKey[Waterway])</f>
        <v>Avon</v>
      </c>
      <c r="K147" t="s">
        <v>23</v>
      </c>
      <c r="L147">
        <v>52.167430000000003</v>
      </c>
      <c r="M147">
        <v>-1.7744800000000001</v>
      </c>
      <c r="N147" t="s">
        <v>18</v>
      </c>
      <c r="O147">
        <v>632</v>
      </c>
      <c r="P147">
        <v>13</v>
      </c>
      <c r="Q147">
        <v>4</v>
      </c>
      <c r="R147" s="7" t="str">
        <f>IF(AllDataApr[[#This Row],[Nitrate (PPM)]]&gt;2, "Very high", IF(AllDataApr[[#This Row],[Nitrate (PPM)]]&gt;1, "High", IF(AllDataApr[[#This Row],[Nitrate (PPM)]]&gt;0.5, "Some evidence", IF(AllDataApr[[#This Row],[Nitrate (PPM)]]&gt;0, "No evidence", IF(AllDataApr[[#This Row],[Nitrate (PPM)]]=0, "")))))</f>
        <v>Very high</v>
      </c>
      <c r="S147">
        <v>0.6</v>
      </c>
      <c r="T147" s="7" t="str">
        <f>IF(AllDataApr[[#This Row],[Phosphate (PPM)]]&gt;0.5, "Very high", IF(AllDataApr[[#This Row],[Phosphate (PPM)]]&gt;0.1, "High", IF(AllDataApr[[#This Row],[Phosphate (PPM)]]&gt;0.05, "Some evidence", IF(AllDataApr[[#This Row],[Phosphate (PPM)]]=0, ""))))</f>
        <v>Very high</v>
      </c>
      <c r="U147">
        <v>0</v>
      </c>
    </row>
    <row r="148" spans="1:22" x14ac:dyDescent="0.3">
      <c r="A148" t="s">
        <v>755</v>
      </c>
      <c r="B148" s="2">
        <v>45223</v>
      </c>
      <c r="C148" s="2" t="str" cm="1">
        <f t="array" ref="C14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48">
        <f>YEAR(AllDataApr[[#This Row],[Date]])</f>
        <v>2023</v>
      </c>
      <c r="E148" s="1">
        <v>0.66666666666666663</v>
      </c>
      <c r="F148" s="2" t="str">
        <f>IF(AND(AllDataApr[[#This Row],[Time]]&lt;0.5, AllDataApr[[#This Row],[Time]]&gt;0.17)=TRUE, "Morning", IF(AND(AllDataApr[[#This Row],[Time]]&lt;0.75, AllDataApr[[#This Row],[Time]]&gt;=0.5)=TRUE, "Afternoon", IF(AND(AllDataApr[[#This Row],[Time]]&lt;1, AllDataApr[[#This Row],[Time]]&gt;=0.75)=TRUE, "Evening", "Night")))</f>
        <v>Afternoon</v>
      </c>
      <c r="G148" t="s">
        <v>57</v>
      </c>
      <c r="H148" t="str">
        <f>_xlfn.XLOOKUP(AllDataApr[[#This Row],[Location Name]], Locations[Row Labels],Locations[Group As])</f>
        <v>Stour Newbold Mill</v>
      </c>
      <c r="I148" t="str">
        <f>_xlfn.XLOOKUP(AllDataApr[[#This Row],[Site Name]],LocationsKey[Site Name],LocationsKey[Region])</f>
        <v>Shipston</v>
      </c>
      <c r="J148" t="str">
        <f>_xlfn.XLOOKUP(AllDataApr[[#This Row],[Site Name]],LocationsKey[Site Name], LocationsKey[Waterway])</f>
        <v>Stour</v>
      </c>
      <c r="K148" t="s">
        <v>92</v>
      </c>
      <c r="L148">
        <v>52.112869000000003</v>
      </c>
      <c r="M148">
        <v>-1.633435</v>
      </c>
      <c r="N148" t="s">
        <v>18</v>
      </c>
      <c r="O148">
        <v>676</v>
      </c>
      <c r="P148">
        <v>12.1</v>
      </c>
      <c r="Q148">
        <v>10</v>
      </c>
      <c r="R148" s="7" t="str">
        <f>IF(AllDataApr[[#This Row],[Nitrate (PPM)]]&gt;2, "Very high", IF(AllDataApr[[#This Row],[Nitrate (PPM)]]&gt;1, "High", IF(AllDataApr[[#This Row],[Nitrate (PPM)]]&gt;0.5, "Some evidence", IF(AllDataApr[[#This Row],[Nitrate (PPM)]]&gt;0, "No evidence", IF(AllDataApr[[#This Row],[Nitrate (PPM)]]=0, "")))))</f>
        <v>Very high</v>
      </c>
      <c r="S148">
        <v>0.28000000000000003</v>
      </c>
      <c r="T148" s="7" t="str">
        <f>IF(AllDataApr[[#This Row],[Phosphate (PPM)]]&gt;0.5, "Very high", IF(AllDataApr[[#This Row],[Phosphate (PPM)]]&gt;0.1, "High", IF(AllDataApr[[#This Row],[Phosphate (PPM)]]&gt;0.05, "Some evidence", IF(AllDataApr[[#This Row],[Phosphate (PPM)]]=0, ""))))</f>
        <v>High</v>
      </c>
      <c r="U148">
        <v>2.5</v>
      </c>
      <c r="V148" t="s">
        <v>121</v>
      </c>
    </row>
    <row r="149" spans="1:22" x14ac:dyDescent="0.3">
      <c r="A149" t="s">
        <v>757</v>
      </c>
      <c r="B149" s="2">
        <v>45225</v>
      </c>
      <c r="C149" s="2" t="str" cm="1">
        <f t="array" ref="C14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49">
        <f>YEAR(AllDataApr[[#This Row],[Date]])</f>
        <v>2023</v>
      </c>
      <c r="E149" s="1">
        <v>0.40277777777777779</v>
      </c>
      <c r="F149" s="2" t="str">
        <f>IF(AND(AllDataApr[[#This Row],[Time]]&lt;0.5, AllDataApr[[#This Row],[Time]]&gt;0.17)=TRUE, "Morning", IF(AND(AllDataApr[[#This Row],[Time]]&lt;0.75, AllDataApr[[#This Row],[Time]]&gt;=0.5)=TRUE, "Afternoon", IF(AND(AllDataApr[[#This Row],[Time]]&lt;1, AllDataApr[[#This Row],[Time]]&gt;=0.75)=TRUE, "Evening", "Night")))</f>
        <v>Morning</v>
      </c>
      <c r="G149" t="s">
        <v>46</v>
      </c>
      <c r="H149" t="str">
        <f>_xlfn.XLOOKUP(AllDataApr[[#This Row],[Location Name]], Locations[Row Labels],Locations[Group As])</f>
        <v>Swilgate</v>
      </c>
      <c r="I149" t="str">
        <f>_xlfn.XLOOKUP(AllDataApr[[#This Row],[Site Name]],LocationsKey[Site Name],LocationsKey[Region])</f>
        <v>Tewkesbury</v>
      </c>
      <c r="J149" t="str">
        <f>_xlfn.XLOOKUP(AllDataApr[[#This Row],[Site Name]],LocationsKey[Site Name], LocationsKey[Waterway])</f>
        <v>Swilgate</v>
      </c>
      <c r="K149" t="s">
        <v>47</v>
      </c>
      <c r="N149" t="s">
        <v>200</v>
      </c>
      <c r="O149">
        <v>640</v>
      </c>
      <c r="P149">
        <v>12.8</v>
      </c>
      <c r="Q149">
        <v>3</v>
      </c>
      <c r="R149" s="7" t="str">
        <f>IF(AllDataApr[[#This Row],[Nitrate (PPM)]]&gt;2, "Very high", IF(AllDataApr[[#This Row],[Nitrate (PPM)]]&gt;1, "High", IF(AllDataApr[[#This Row],[Nitrate (PPM)]]&gt;0.5, "Some evidence", IF(AllDataApr[[#This Row],[Nitrate (PPM)]]&gt;0, "No evidence", IF(AllDataApr[[#This Row],[Nitrate (PPM)]]=0, "")))))</f>
        <v>Very high</v>
      </c>
      <c r="S149">
        <v>0.83</v>
      </c>
      <c r="T149" s="7" t="str">
        <f>IF(AllDataApr[[#This Row],[Phosphate (PPM)]]&gt;0.5, "Very high", IF(AllDataApr[[#This Row],[Phosphate (PPM)]]&gt;0.1, "High", IF(AllDataApr[[#This Row],[Phosphate (PPM)]]&gt;0.05, "Some evidence", IF(AllDataApr[[#This Row],[Phosphate (PPM)]]=0, ""))))</f>
        <v>Very high</v>
      </c>
      <c r="U149">
        <v>2</v>
      </c>
      <c r="V149" t="s">
        <v>122</v>
      </c>
    </row>
    <row r="150" spans="1:22" x14ac:dyDescent="0.3">
      <c r="A150" t="s">
        <v>762</v>
      </c>
      <c r="B150" s="2">
        <v>45225</v>
      </c>
      <c r="C150" s="2" t="str" cm="1">
        <f t="array" ref="C15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50">
        <f>YEAR(AllDataApr[[#This Row],[Date]])</f>
        <v>2023</v>
      </c>
      <c r="E150" s="1">
        <v>0.5083333333333333</v>
      </c>
      <c r="F150" s="2" t="str">
        <f>IF(AND(AllDataApr[[#This Row],[Time]]&lt;0.5, AllDataApr[[#This Row],[Time]]&gt;0.17)=TRUE, "Morning", IF(AND(AllDataApr[[#This Row],[Time]]&lt;0.75, AllDataApr[[#This Row],[Time]]&gt;=0.5)=TRUE, "Afternoon", IF(AND(AllDataApr[[#This Row],[Time]]&lt;1, AllDataApr[[#This Row],[Time]]&gt;=0.75)=TRUE, "Evening", "Night")))</f>
        <v>Afternoon</v>
      </c>
      <c r="G150" t="s">
        <v>59</v>
      </c>
      <c r="H150" t="str">
        <f>_xlfn.XLOOKUP(AllDataApr[[#This Row],[Location Name]], Locations[Row Labels],Locations[Group As])</f>
        <v>Preston-on-Stour River Bridge</v>
      </c>
      <c r="I150" t="str">
        <f>_xlfn.XLOOKUP(AllDataApr[[#This Row],[Site Name]],LocationsKey[Site Name],LocationsKey[Region])</f>
        <v>Stratford</v>
      </c>
      <c r="J150" t="str">
        <f>_xlfn.XLOOKUP(AllDataApr[[#This Row],[Site Name]],LocationsKey[Site Name], LocationsKey[Waterway])</f>
        <v>Stour</v>
      </c>
      <c r="K150" t="s">
        <v>123</v>
      </c>
      <c r="L150">
        <v>52.146653000000001</v>
      </c>
      <c r="M150">
        <v>-1.699214</v>
      </c>
      <c r="N150" t="s">
        <v>18</v>
      </c>
      <c r="O150">
        <v>665</v>
      </c>
      <c r="P150">
        <v>12.1</v>
      </c>
      <c r="Q150">
        <v>5</v>
      </c>
      <c r="R150" s="7" t="str">
        <f>IF(AllDataApr[[#This Row],[Nitrate (PPM)]]&gt;2, "Very high", IF(AllDataApr[[#This Row],[Nitrate (PPM)]]&gt;1, "High", IF(AllDataApr[[#This Row],[Nitrate (PPM)]]&gt;0.5, "Some evidence", IF(AllDataApr[[#This Row],[Nitrate (PPM)]]&gt;0, "No evidence", IF(AllDataApr[[#This Row],[Nitrate (PPM)]]=0, "")))))</f>
        <v>Very high</v>
      </c>
      <c r="S150">
        <v>0.27</v>
      </c>
      <c r="T150" s="7" t="str">
        <f>IF(AllDataApr[[#This Row],[Phosphate (PPM)]]&gt;0.5, "Very high", IF(AllDataApr[[#This Row],[Phosphate (PPM)]]&gt;0.1, "High", IF(AllDataApr[[#This Row],[Phosphate (PPM)]]&gt;0.05, "Some evidence", IF(AllDataApr[[#This Row],[Phosphate (PPM)]]=0, ""))))</f>
        <v>High</v>
      </c>
      <c r="U150">
        <v>1.5</v>
      </c>
      <c r="V150" t="s">
        <v>124</v>
      </c>
    </row>
    <row r="151" spans="1:22" x14ac:dyDescent="0.3">
      <c r="A151" t="s">
        <v>464</v>
      </c>
      <c r="B151" s="2">
        <v>45227</v>
      </c>
      <c r="C151" s="2" t="str" cm="1">
        <f t="array" ref="C15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51">
        <f>YEAR(AllDataApr[[#This Row],[Date]])</f>
        <v>2023</v>
      </c>
      <c r="E151" s="1">
        <v>0.41666666666666669</v>
      </c>
      <c r="F151" s="2" t="str">
        <f>IF(AND(AllDataApr[[#This Row],[Time]]&lt;0.5, AllDataApr[[#This Row],[Time]]&gt;0.17)=TRUE, "Morning", IF(AND(AllDataApr[[#This Row],[Time]]&lt;0.75, AllDataApr[[#This Row],[Time]]&gt;=0.5)=TRUE, "Afternoon", IF(AND(AllDataApr[[#This Row],[Time]]&lt;1, AllDataApr[[#This Row],[Time]]&gt;=0.75)=TRUE, "Evening", "Night")))</f>
        <v>Morning</v>
      </c>
      <c r="G151" t="s">
        <v>278</v>
      </c>
      <c r="H151" t="str">
        <f>_xlfn.XLOOKUP(AllDataApr[[#This Row],[Location Name]], Locations[Row Labels],Locations[Group As])</f>
        <v>Pitch 16</v>
      </c>
      <c r="I151" t="str">
        <f>_xlfn.XLOOKUP(AllDataApr[[#This Row],[Site Name]],LocationsKey[Site Name],LocationsKey[Region])</f>
        <v>Stratford</v>
      </c>
      <c r="J151" t="str">
        <f>_xlfn.XLOOKUP(AllDataApr[[#This Row],[Site Name]],LocationsKey[Site Name], LocationsKey[Waterway])</f>
        <v>Avon</v>
      </c>
      <c r="K151" t="s">
        <v>39</v>
      </c>
      <c r="N151" t="s">
        <v>18</v>
      </c>
      <c r="O151">
        <v>841</v>
      </c>
      <c r="P151">
        <v>13.3</v>
      </c>
      <c r="Q151">
        <v>5</v>
      </c>
      <c r="R151" s="7" t="str">
        <f>IF(AllDataApr[[#This Row],[Nitrate (PPM)]]&gt;2, "Very high", IF(AllDataApr[[#This Row],[Nitrate (PPM)]]&gt;1, "High", IF(AllDataApr[[#This Row],[Nitrate (PPM)]]&gt;0.5, "Some evidence", IF(AllDataApr[[#This Row],[Nitrate (PPM)]]&gt;0, "No evidence", IF(AllDataApr[[#This Row],[Nitrate (PPM)]]=0, "")))))</f>
        <v>Very high</v>
      </c>
      <c r="S151">
        <v>0.42</v>
      </c>
      <c r="T151" s="7" t="str">
        <f>IF(AllDataApr[[#This Row],[Phosphate (PPM)]]&gt;0.5, "Very high", IF(AllDataApr[[#This Row],[Phosphate (PPM)]]&gt;0.1, "High", IF(AllDataApr[[#This Row],[Phosphate (PPM)]]&gt;0.05, "Some evidence", IF(AllDataApr[[#This Row],[Phosphate (PPM)]]=0, ""))))</f>
        <v>High</v>
      </c>
      <c r="U151">
        <v>0.69</v>
      </c>
    </row>
    <row r="152" spans="1:22" x14ac:dyDescent="0.3">
      <c r="A152" t="s">
        <v>465</v>
      </c>
      <c r="B152" s="2">
        <v>45227</v>
      </c>
      <c r="C152" s="2" t="str" cm="1">
        <f t="array" ref="C15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52">
        <f>YEAR(AllDataApr[[#This Row],[Date]])</f>
        <v>2023</v>
      </c>
      <c r="E152" s="1">
        <v>0.41666666666666669</v>
      </c>
      <c r="F152" s="2" t="str">
        <f>IF(AND(AllDataApr[[#This Row],[Time]]&lt;0.5, AllDataApr[[#This Row],[Time]]&gt;0.17)=TRUE, "Morning", IF(AND(AllDataApr[[#This Row],[Time]]&lt;0.75, AllDataApr[[#This Row],[Time]]&gt;=0.5)=TRUE, "Afternoon", IF(AND(AllDataApr[[#This Row],[Time]]&lt;1, AllDataApr[[#This Row],[Time]]&gt;=0.75)=TRUE, "Evening", "Night")))</f>
        <v>Morning</v>
      </c>
      <c r="G152" t="s">
        <v>278</v>
      </c>
      <c r="H152" t="str">
        <f>_xlfn.XLOOKUP(AllDataApr[[#This Row],[Location Name]], Locations[Row Labels],Locations[Group As])</f>
        <v>Avonbank Drive</v>
      </c>
      <c r="I152" t="str">
        <f>_xlfn.XLOOKUP(AllDataApr[[#This Row],[Site Name]],LocationsKey[Site Name],LocationsKey[Region])</f>
        <v>Stratford</v>
      </c>
      <c r="J152" t="str">
        <f>_xlfn.XLOOKUP(AllDataApr[[#This Row],[Site Name]],LocationsKey[Site Name], LocationsKey[Waterway])</f>
        <v>Avon</v>
      </c>
      <c r="K152" t="s">
        <v>71</v>
      </c>
      <c r="N152" t="s">
        <v>42</v>
      </c>
      <c r="O152">
        <v>874</v>
      </c>
      <c r="P152">
        <v>13.5</v>
      </c>
      <c r="Q152">
        <v>10</v>
      </c>
      <c r="R152" s="7" t="str">
        <f>IF(AllDataApr[[#This Row],[Nitrate (PPM)]]&gt;2, "Very high", IF(AllDataApr[[#This Row],[Nitrate (PPM)]]&gt;1, "High", IF(AllDataApr[[#This Row],[Nitrate (PPM)]]&gt;0.5, "Some evidence", IF(AllDataApr[[#This Row],[Nitrate (PPM)]]&gt;0, "No evidence", IF(AllDataApr[[#This Row],[Nitrate (PPM)]]=0, "")))))</f>
        <v>Very high</v>
      </c>
      <c r="S152">
        <v>0.66</v>
      </c>
      <c r="T152" s="7" t="str">
        <f>IF(AllDataApr[[#This Row],[Phosphate (PPM)]]&gt;0.5, "Very high", IF(AllDataApr[[#This Row],[Phosphate (PPM)]]&gt;0.1, "High", IF(AllDataApr[[#This Row],[Phosphate (PPM)]]&gt;0.05, "Some evidence", IF(AllDataApr[[#This Row],[Phosphate (PPM)]]=0, ""))))</f>
        <v>Very high</v>
      </c>
      <c r="U152">
        <v>0.69</v>
      </c>
    </row>
    <row r="153" spans="1:22" x14ac:dyDescent="0.3">
      <c r="A153" t="s">
        <v>756</v>
      </c>
      <c r="B153" s="2">
        <v>45227</v>
      </c>
      <c r="C153" s="2" t="str" cm="1">
        <f t="array" ref="C15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53">
        <f>YEAR(AllDataApr[[#This Row],[Date]])</f>
        <v>2023</v>
      </c>
      <c r="E153" s="1">
        <v>0.5</v>
      </c>
      <c r="F153" s="2" t="str">
        <f>IF(AND(AllDataApr[[#This Row],[Time]]&lt;0.5, AllDataApr[[#This Row],[Time]]&gt;0.17)=TRUE, "Morning", IF(AND(AllDataApr[[#This Row],[Time]]&lt;0.75, AllDataApr[[#This Row],[Time]]&gt;=0.5)=TRUE, "Afternoon", IF(AND(AllDataApr[[#This Row],[Time]]&lt;1, AllDataApr[[#This Row],[Time]]&gt;=0.75)=TRUE, "Evening", "Night")))</f>
        <v>Afternoon</v>
      </c>
      <c r="G153" t="s">
        <v>52</v>
      </c>
      <c r="H153" t="str">
        <f>_xlfn.XLOOKUP(AllDataApr[[#This Row],[Location Name]], Locations[Row Labels],Locations[Group As])</f>
        <v>Carrant Bredon Rd</v>
      </c>
      <c r="I153" t="str">
        <f>_xlfn.XLOOKUP(AllDataApr[[#This Row],[Site Name]],LocationsKey[Site Name],LocationsKey[Region])</f>
        <v>Tewkesbury</v>
      </c>
      <c r="J153" t="str">
        <f>_xlfn.XLOOKUP(AllDataApr[[#This Row],[Site Name]],LocationsKey[Site Name], LocationsKey[Waterway])</f>
        <v>Carrant</v>
      </c>
      <c r="K153" t="s">
        <v>53</v>
      </c>
      <c r="N153" t="s">
        <v>200</v>
      </c>
      <c r="O153">
        <v>635</v>
      </c>
      <c r="P153">
        <v>12.8</v>
      </c>
      <c r="Q153">
        <v>6</v>
      </c>
      <c r="R153" s="7" t="str">
        <f>IF(AllDataApr[[#This Row],[Nitrate (PPM)]]&gt;2, "Very high", IF(AllDataApr[[#This Row],[Nitrate (PPM)]]&gt;1, "High", IF(AllDataApr[[#This Row],[Nitrate (PPM)]]&gt;0.5, "Some evidence", IF(AllDataApr[[#This Row],[Nitrate (PPM)]]&gt;0, "No evidence", IF(AllDataApr[[#This Row],[Nitrate (PPM)]]=0, "")))))</f>
        <v>Very high</v>
      </c>
      <c r="S153">
        <v>0.64</v>
      </c>
      <c r="T153" s="7" t="str">
        <f>IF(AllDataApr[[#This Row],[Phosphate (PPM)]]&gt;0.5, "Very high", IF(AllDataApr[[#This Row],[Phosphate (PPM)]]&gt;0.1, "High", IF(AllDataApr[[#This Row],[Phosphate (PPM)]]&gt;0.05, "Some evidence", IF(AllDataApr[[#This Row],[Phosphate (PPM)]]=0, ""))))</f>
        <v>Very high</v>
      </c>
      <c r="U153">
        <v>1.3</v>
      </c>
      <c r="V153" t="s">
        <v>125</v>
      </c>
    </row>
    <row r="154" spans="1:22" x14ac:dyDescent="0.3">
      <c r="A154" t="s">
        <v>741</v>
      </c>
      <c r="B154" s="2">
        <v>45228</v>
      </c>
      <c r="C154" s="2" t="str" cm="1">
        <f t="array" ref="C15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54">
        <f>YEAR(AllDataApr[[#This Row],[Date]])</f>
        <v>2023</v>
      </c>
      <c r="E154" s="1">
        <v>0.46875</v>
      </c>
      <c r="F154" s="2" t="str">
        <f>IF(AND(AllDataApr[[#This Row],[Time]]&lt;0.5, AllDataApr[[#This Row],[Time]]&gt;0.17)=TRUE, "Morning", IF(AND(AllDataApr[[#This Row],[Time]]&lt;0.75, AllDataApr[[#This Row],[Time]]&gt;=0.5)=TRUE, "Afternoon", IF(AND(AllDataApr[[#This Row],[Time]]&lt;1, AllDataApr[[#This Row],[Time]]&gt;=0.75)=TRUE, "Evening", "Night")))</f>
        <v>Morning</v>
      </c>
      <c r="G154" t="s">
        <v>20</v>
      </c>
      <c r="H154" t="str">
        <f>_xlfn.XLOOKUP(AllDataApr[[#This Row],[Location Name]], Locations[Row Labels],Locations[Group As])</f>
        <v>Hampton Wood</v>
      </c>
      <c r="I154" t="str">
        <f>_xlfn.XLOOKUP(AllDataApr[[#This Row],[Site Name]],LocationsKey[Site Name],LocationsKey[Region])</f>
        <v>Stratford</v>
      </c>
      <c r="J154" t="str">
        <f>_xlfn.XLOOKUP(AllDataApr[[#This Row],[Site Name]],LocationsKey[Site Name], LocationsKey[Waterway])</f>
        <v>Avon</v>
      </c>
      <c r="K154" t="s">
        <v>25</v>
      </c>
      <c r="L154">
        <v>52.238149999999997</v>
      </c>
      <c r="M154">
        <v>-1.6245799999999999</v>
      </c>
      <c r="N154" t="s">
        <v>18</v>
      </c>
      <c r="O154">
        <v>754</v>
      </c>
      <c r="P154">
        <v>13.1</v>
      </c>
      <c r="Q154">
        <v>4</v>
      </c>
      <c r="R154" s="7" t="str">
        <f>IF(AllDataApr[[#This Row],[Nitrate (PPM)]]&gt;2, "Very high", IF(AllDataApr[[#This Row],[Nitrate (PPM)]]&gt;1, "High", IF(AllDataApr[[#This Row],[Nitrate (PPM)]]&gt;0.5, "Some evidence", IF(AllDataApr[[#This Row],[Nitrate (PPM)]]&gt;0, "No evidence", IF(AllDataApr[[#This Row],[Nitrate (PPM)]]=0, "")))))</f>
        <v>Very high</v>
      </c>
      <c r="S154">
        <v>0.6</v>
      </c>
      <c r="T154" s="7" t="str">
        <f>IF(AllDataApr[[#This Row],[Phosphate (PPM)]]&gt;0.5, "Very high", IF(AllDataApr[[#This Row],[Phosphate (PPM)]]&gt;0.1, "High", IF(AllDataApr[[#This Row],[Phosphate (PPM)]]&gt;0.05, "Some evidence", IF(AllDataApr[[#This Row],[Phosphate (PPM)]]=0, ""))))</f>
        <v>Very high</v>
      </c>
      <c r="U154">
        <v>0</v>
      </c>
    </row>
    <row r="155" spans="1:22" x14ac:dyDescent="0.3">
      <c r="A155" t="s">
        <v>738</v>
      </c>
      <c r="B155" s="2">
        <v>45228</v>
      </c>
      <c r="C155" s="2" t="str" cm="1">
        <f t="array" ref="C15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55">
        <f>YEAR(AllDataApr[[#This Row],[Date]])</f>
        <v>2023</v>
      </c>
      <c r="E155" s="1">
        <v>0.52777777777777779</v>
      </c>
      <c r="F155" s="2" t="str">
        <f>IF(AND(AllDataApr[[#This Row],[Time]]&lt;0.5, AllDataApr[[#This Row],[Time]]&gt;0.17)=TRUE, "Morning", IF(AND(AllDataApr[[#This Row],[Time]]&lt;0.75, AllDataApr[[#This Row],[Time]]&gt;=0.5)=TRUE, "Afternoon", IF(AND(AllDataApr[[#This Row],[Time]]&lt;1, AllDataApr[[#This Row],[Time]]&gt;=0.75)=TRUE, "Evening", "Night")))</f>
        <v>Afternoon</v>
      </c>
      <c r="G155" t="s">
        <v>95</v>
      </c>
      <c r="H155" t="str">
        <f>_xlfn.XLOOKUP(AllDataApr[[#This Row],[Location Name]], Locations[Row Labels],Locations[Group As])</f>
        <v>Hampton Lucy</v>
      </c>
      <c r="I155" t="str">
        <f>_xlfn.XLOOKUP(AllDataApr[[#This Row],[Site Name]],LocationsKey[Site Name],LocationsKey[Region])</f>
        <v>Stratford</v>
      </c>
      <c r="J155" t="str">
        <f>_xlfn.XLOOKUP(AllDataApr[[#This Row],[Site Name]],LocationsKey[Site Name], LocationsKey[Waterway])</f>
        <v>Avon</v>
      </c>
      <c r="K155" t="s">
        <v>27</v>
      </c>
      <c r="L155">
        <v>52.211680000000001</v>
      </c>
      <c r="M155">
        <v>-1.6244400000000001</v>
      </c>
      <c r="N155" t="s">
        <v>200</v>
      </c>
      <c r="O155">
        <v>758</v>
      </c>
      <c r="P155">
        <v>12.6</v>
      </c>
      <c r="Q155">
        <v>3.5</v>
      </c>
      <c r="R155" s="7" t="str">
        <f>IF(AllDataApr[[#This Row],[Nitrate (PPM)]]&gt;2, "Very high", IF(AllDataApr[[#This Row],[Nitrate (PPM)]]&gt;1, "High", IF(AllDataApr[[#This Row],[Nitrate (PPM)]]&gt;0.5, "Some evidence", IF(AllDataApr[[#This Row],[Nitrate (PPM)]]&gt;0, "No evidence", IF(AllDataApr[[#This Row],[Nitrate (PPM)]]=0, "")))))</f>
        <v>Very high</v>
      </c>
      <c r="S155">
        <v>0.71</v>
      </c>
      <c r="T155" s="7" t="str">
        <f>IF(AllDataApr[[#This Row],[Phosphate (PPM)]]&gt;0.5, "Very high", IF(AllDataApr[[#This Row],[Phosphate (PPM)]]&gt;0.1, "High", IF(AllDataApr[[#This Row],[Phosphate (PPM)]]&gt;0.05, "Some evidence", IF(AllDataApr[[#This Row],[Phosphate (PPM)]]=0, ""))))</f>
        <v>Very high</v>
      </c>
      <c r="U155">
        <v>0</v>
      </c>
    </row>
    <row r="156" spans="1:22" x14ac:dyDescent="0.3">
      <c r="A156" t="s">
        <v>761</v>
      </c>
      <c r="B156" s="2">
        <v>45228</v>
      </c>
      <c r="C156" s="2" t="str" cm="1">
        <f t="array" ref="C15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56">
        <f>YEAR(AllDataApr[[#This Row],[Date]])</f>
        <v>2023</v>
      </c>
      <c r="E156" s="1">
        <v>0.63263888888888886</v>
      </c>
      <c r="F156" s="2" t="str">
        <f>IF(AND(AllDataApr[[#This Row],[Time]]&lt;0.5, AllDataApr[[#This Row],[Time]]&gt;0.17)=TRUE, "Morning", IF(AND(AllDataApr[[#This Row],[Time]]&lt;0.75, AllDataApr[[#This Row],[Time]]&gt;=0.5)=TRUE, "Afternoon", IF(AND(AllDataApr[[#This Row],[Time]]&lt;1, AllDataApr[[#This Row],[Time]]&gt;=0.75)=TRUE, "Evening", "Night")))</f>
        <v>Afternoon</v>
      </c>
      <c r="G156" t="s">
        <v>112</v>
      </c>
      <c r="H156" t="str">
        <f>_xlfn.XLOOKUP(AllDataApr[[#This Row],[Location Name]], Locations[Row Labels],Locations[Group As])</f>
        <v>Clifford Chambers Mill Bridge</v>
      </c>
      <c r="I156" t="str">
        <f>_xlfn.XLOOKUP(AllDataApr[[#This Row],[Site Name]],LocationsKey[Site Name],LocationsKey[Region])</f>
        <v>Stratford</v>
      </c>
      <c r="J156" t="str">
        <f>_xlfn.XLOOKUP(AllDataApr[[#This Row],[Site Name]],LocationsKey[Site Name], LocationsKey[Waterway])</f>
        <v>Stour</v>
      </c>
      <c r="K156" t="s">
        <v>119</v>
      </c>
      <c r="L156">
        <v>52.166370000000001</v>
      </c>
      <c r="M156">
        <v>-1.708032</v>
      </c>
      <c r="N156" t="s">
        <v>1047</v>
      </c>
      <c r="O156">
        <v>416</v>
      </c>
      <c r="P156">
        <v>13.4</v>
      </c>
      <c r="Q156">
        <v>4</v>
      </c>
      <c r="R156" s="7" t="str">
        <f>IF(AllDataApr[[#This Row],[Nitrate (PPM)]]&gt;2, "Very high", IF(AllDataApr[[#This Row],[Nitrate (PPM)]]&gt;1, "High", IF(AllDataApr[[#This Row],[Nitrate (PPM)]]&gt;0.5, "Some evidence", IF(AllDataApr[[#This Row],[Nitrate (PPM)]]&gt;0, "No evidence", IF(AllDataApr[[#This Row],[Nitrate (PPM)]]=0, "")))))</f>
        <v>Very high</v>
      </c>
      <c r="S156">
        <v>0.34</v>
      </c>
      <c r="T156" s="7" t="str">
        <f>IF(AllDataApr[[#This Row],[Phosphate (PPM)]]&gt;0.5, "Very high", IF(AllDataApr[[#This Row],[Phosphate (PPM)]]&gt;0.1, "High", IF(AllDataApr[[#This Row],[Phosphate (PPM)]]&gt;0.05, "Some evidence", IF(AllDataApr[[#This Row],[Phosphate (PPM)]]=0, ""))))</f>
        <v>High</v>
      </c>
      <c r="U156">
        <v>1.8</v>
      </c>
      <c r="V156" t="s">
        <v>126</v>
      </c>
    </row>
    <row r="157" spans="1:22" x14ac:dyDescent="0.3">
      <c r="A157" t="s">
        <v>760</v>
      </c>
      <c r="B157" s="2">
        <v>45229</v>
      </c>
      <c r="C157" s="2" t="str" cm="1">
        <f t="array" ref="C15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57">
        <f>YEAR(AllDataApr[[#This Row],[Date]])</f>
        <v>2023</v>
      </c>
      <c r="E157" s="1">
        <v>0.58958333333333335</v>
      </c>
      <c r="F157" s="2" t="str">
        <f>IF(AND(AllDataApr[[#This Row],[Time]]&lt;0.5, AllDataApr[[#This Row],[Time]]&gt;0.17)=TRUE, "Morning", IF(AND(AllDataApr[[#This Row],[Time]]&lt;0.75, AllDataApr[[#This Row],[Time]]&gt;=0.5)=TRUE, "Afternoon", IF(AND(AllDataApr[[#This Row],[Time]]&lt;1, AllDataApr[[#This Row],[Time]]&gt;=0.75)=TRUE, "Evening", "Night")))</f>
        <v>Afternoon</v>
      </c>
      <c r="G157" t="s">
        <v>907</v>
      </c>
      <c r="H157" t="str">
        <f>_xlfn.XLOOKUP(AllDataApr[[#This Row],[Location Name]], Locations[Row Labels],Locations[Group As])</f>
        <v>Swiffen Bank</v>
      </c>
      <c r="I157" t="str">
        <f>_xlfn.XLOOKUP(AllDataApr[[#This Row],[Site Name]],LocationsKey[Site Name],LocationsKey[Region])</f>
        <v>Stratford</v>
      </c>
      <c r="J157" t="str">
        <f>_xlfn.XLOOKUP(AllDataApr[[#This Row],[Site Name]],LocationsKey[Site Name], LocationsKey[Waterway])</f>
        <v>Avon</v>
      </c>
      <c r="K157" t="s">
        <v>130</v>
      </c>
      <c r="L157">
        <v>52.206477999999997</v>
      </c>
      <c r="M157">
        <v>-1.653894</v>
      </c>
      <c r="N157" t="s">
        <v>18</v>
      </c>
      <c r="O157">
        <v>687</v>
      </c>
      <c r="P157">
        <v>15</v>
      </c>
      <c r="Q157">
        <v>5</v>
      </c>
      <c r="R157" s="7" t="str">
        <f>IF(AllDataApr[[#This Row],[Nitrate (PPM)]]&gt;2, "Very high", IF(AllDataApr[[#This Row],[Nitrate (PPM)]]&gt;1, "High", IF(AllDataApr[[#This Row],[Nitrate (PPM)]]&gt;0.5, "Some evidence", IF(AllDataApr[[#This Row],[Nitrate (PPM)]]&gt;0, "No evidence", IF(AllDataApr[[#This Row],[Nitrate (PPM)]]=0, "")))))</f>
        <v>Very high</v>
      </c>
      <c r="S157">
        <v>0.54</v>
      </c>
      <c r="T157" s="7" t="str">
        <f>IF(AllDataApr[[#This Row],[Phosphate (PPM)]]&gt;0.5, "Very high", IF(AllDataApr[[#This Row],[Phosphate (PPM)]]&gt;0.1, "High", IF(AllDataApr[[#This Row],[Phosphate (PPM)]]&gt;0.05, "Some evidence", IF(AllDataApr[[#This Row],[Phosphate (PPM)]]=0, ""))))</f>
        <v>Very high</v>
      </c>
      <c r="U157">
        <v>1</v>
      </c>
    </row>
    <row r="158" spans="1:22" x14ac:dyDescent="0.3">
      <c r="A158" t="s">
        <v>759</v>
      </c>
      <c r="B158" s="2">
        <v>45229</v>
      </c>
      <c r="C158" s="2" t="str" cm="1">
        <f t="array" ref="C15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58">
        <f>YEAR(AllDataApr[[#This Row],[Date]])</f>
        <v>2023</v>
      </c>
      <c r="E158" s="1">
        <v>0.65069444444444446</v>
      </c>
      <c r="F158" s="2" t="str">
        <f>IF(AND(AllDataApr[[#This Row],[Time]]&lt;0.5, AllDataApr[[#This Row],[Time]]&gt;0.17)=TRUE, "Morning", IF(AND(AllDataApr[[#This Row],[Time]]&lt;0.75, AllDataApr[[#This Row],[Time]]&gt;=0.5)=TRUE, "Afternoon", IF(AND(AllDataApr[[#This Row],[Time]]&lt;1, AllDataApr[[#This Row],[Time]]&gt;=0.75)=TRUE, "Evening", "Night")))</f>
        <v>Afternoon</v>
      </c>
      <c r="G158" t="s">
        <v>127</v>
      </c>
      <c r="H158" t="str">
        <f>_xlfn.XLOOKUP(AllDataApr[[#This Row],[Location Name]], Locations[Row Labels],Locations[Group As])</f>
        <v>Alveston Weir</v>
      </c>
      <c r="I158" t="str">
        <f>_xlfn.XLOOKUP(AllDataApr[[#This Row],[Site Name]],LocationsKey[Site Name],LocationsKey[Region])</f>
        <v>Stratford</v>
      </c>
      <c r="J158" t="str">
        <f>_xlfn.XLOOKUP(AllDataApr[[#This Row],[Site Name]],LocationsKey[Site Name], LocationsKey[Waterway])</f>
        <v>Avon</v>
      </c>
      <c r="K158" t="s">
        <v>128</v>
      </c>
      <c r="L158">
        <v>52.214388999999997</v>
      </c>
      <c r="M158">
        <v>-1.6601520000000001</v>
      </c>
      <c r="N158" t="s">
        <v>18</v>
      </c>
      <c r="O158">
        <v>70.2</v>
      </c>
      <c r="P158">
        <v>16.8</v>
      </c>
      <c r="Q158">
        <v>10</v>
      </c>
      <c r="R158" s="7" t="str">
        <f>IF(AllDataApr[[#This Row],[Nitrate (PPM)]]&gt;2, "Very high", IF(AllDataApr[[#This Row],[Nitrate (PPM)]]&gt;1, "High", IF(AllDataApr[[#This Row],[Nitrate (PPM)]]&gt;0.5, "Some evidence", IF(AllDataApr[[#This Row],[Nitrate (PPM)]]&gt;0, "No evidence", IF(AllDataApr[[#This Row],[Nitrate (PPM)]]=0, "")))))</f>
        <v>Very high</v>
      </c>
      <c r="S158">
        <v>0.49</v>
      </c>
      <c r="T158" s="7" t="str">
        <f>IF(AllDataApr[[#This Row],[Phosphate (PPM)]]&gt;0.5, "Very high", IF(AllDataApr[[#This Row],[Phosphate (PPM)]]&gt;0.1, "High", IF(AllDataApr[[#This Row],[Phosphate (PPM)]]&gt;0.05, "Some evidence", IF(AllDataApr[[#This Row],[Phosphate (PPM)]]=0, ""))))</f>
        <v>High</v>
      </c>
      <c r="U158">
        <v>0</v>
      </c>
    </row>
    <row r="159" spans="1:22" x14ac:dyDescent="0.3">
      <c r="A159" t="s">
        <v>758</v>
      </c>
      <c r="B159" s="2">
        <v>45230</v>
      </c>
      <c r="C159" s="2" t="str" cm="1">
        <f t="array" ref="C15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59">
        <f>YEAR(AllDataApr[[#This Row],[Date]])</f>
        <v>2023</v>
      </c>
      <c r="E159" s="1">
        <v>0.2951388888888889</v>
      </c>
      <c r="F159" s="2" t="str">
        <f>IF(AND(AllDataApr[[#This Row],[Time]]&lt;0.5, AllDataApr[[#This Row],[Time]]&gt;0.17)=TRUE, "Morning", IF(AND(AllDataApr[[#This Row],[Time]]&lt;0.75, AllDataApr[[#This Row],[Time]]&gt;=0.5)=TRUE, "Afternoon", IF(AND(AllDataApr[[#This Row],[Time]]&lt;1, AllDataApr[[#This Row],[Time]]&gt;=0.75)=TRUE, "Evening", "Night")))</f>
        <v>Morning</v>
      </c>
      <c r="G159" t="s">
        <v>11</v>
      </c>
      <c r="H159" t="str">
        <f>_xlfn.XLOOKUP(AllDataApr[[#This Row],[Location Name]], Locations[Row Labels],Locations[Group As])</f>
        <v>Abbey Mill</v>
      </c>
      <c r="I159" t="str">
        <f>_xlfn.XLOOKUP(AllDataApr[[#This Row],[Site Name]],LocationsKey[Site Name],LocationsKey[Region])</f>
        <v>Tewkesbury</v>
      </c>
      <c r="J159" t="str">
        <f>_xlfn.XLOOKUP(AllDataApr[[#This Row],[Site Name]],LocationsKey[Site Name], LocationsKey[Waterway])</f>
        <v>Avon</v>
      </c>
      <c r="K159" t="s">
        <v>12</v>
      </c>
      <c r="L159">
        <v>51.991028</v>
      </c>
      <c r="M159">
        <v>-2.1625719999999999</v>
      </c>
      <c r="N159" t="s">
        <v>200</v>
      </c>
      <c r="O159">
        <v>640</v>
      </c>
      <c r="P159">
        <v>13.5</v>
      </c>
      <c r="Q159">
        <v>10</v>
      </c>
      <c r="R159" s="7" t="str">
        <f>IF(AllDataApr[[#This Row],[Nitrate (PPM)]]&gt;2, "Very high", IF(AllDataApr[[#This Row],[Nitrate (PPM)]]&gt;1, "High", IF(AllDataApr[[#This Row],[Nitrate (PPM)]]&gt;0.5, "Some evidence", IF(AllDataApr[[#This Row],[Nitrate (PPM)]]&gt;0, "No evidence", IF(AllDataApr[[#This Row],[Nitrate (PPM)]]=0, "")))))</f>
        <v>Very high</v>
      </c>
      <c r="S159">
        <v>0.41</v>
      </c>
      <c r="T159" s="7" t="str">
        <f>IF(AllDataApr[[#This Row],[Phosphate (PPM)]]&gt;0.5, "Very high", IF(AllDataApr[[#This Row],[Phosphate (PPM)]]&gt;0.1, "High", IF(AllDataApr[[#This Row],[Phosphate (PPM)]]&gt;0.05, "Some evidence", IF(AllDataApr[[#This Row],[Phosphate (PPM)]]=0, ""))))</f>
        <v>High</v>
      </c>
      <c r="U159">
        <v>1</v>
      </c>
      <c r="V159" t="s">
        <v>131</v>
      </c>
    </row>
    <row r="160" spans="1:22" x14ac:dyDescent="0.3">
      <c r="A160" t="s">
        <v>734</v>
      </c>
      <c r="B160" s="2">
        <v>45231</v>
      </c>
      <c r="C160" s="2" t="str" cm="1">
        <f t="array" ref="C16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60">
        <f>YEAR(AllDataApr[[#This Row],[Date]])</f>
        <v>2023</v>
      </c>
      <c r="E160" s="1">
        <v>0.59027777777777779</v>
      </c>
      <c r="F160" s="2" t="str">
        <f>IF(AND(AllDataApr[[#This Row],[Time]]&lt;0.5, AllDataApr[[#This Row],[Time]]&gt;0.17)=TRUE, "Morning", IF(AND(AllDataApr[[#This Row],[Time]]&lt;0.75, AllDataApr[[#This Row],[Time]]&gt;=0.5)=TRUE, "Afternoon", IF(AND(AllDataApr[[#This Row],[Time]]&lt;1, AllDataApr[[#This Row],[Time]]&gt;=0.75)=TRUE, "Evening", "Night")))</f>
        <v>Afternoon</v>
      </c>
      <c r="G160" t="s">
        <v>20</v>
      </c>
      <c r="H160" t="str">
        <f>_xlfn.XLOOKUP(AllDataApr[[#This Row],[Location Name]], Locations[Row Labels],Locations[Group As])</f>
        <v>Weston-on-Avon</v>
      </c>
      <c r="I160" t="str">
        <f>_xlfn.XLOOKUP(AllDataApr[[#This Row],[Site Name]],LocationsKey[Site Name],LocationsKey[Region])</f>
        <v>Stratford</v>
      </c>
      <c r="J160" t="str">
        <f>_xlfn.XLOOKUP(AllDataApr[[#This Row],[Site Name]],LocationsKey[Site Name], LocationsKey[Waterway])</f>
        <v>Avon</v>
      </c>
      <c r="K160" t="s">
        <v>23</v>
      </c>
      <c r="L160">
        <v>52.167430000000003</v>
      </c>
      <c r="M160">
        <v>-1.7744800000000001</v>
      </c>
      <c r="N160" t="s">
        <v>18</v>
      </c>
      <c r="O160">
        <v>800</v>
      </c>
      <c r="P160">
        <v>11.6</v>
      </c>
      <c r="Q160">
        <v>3</v>
      </c>
      <c r="R160" s="7" t="str">
        <f>IF(AllDataApr[[#This Row],[Nitrate (PPM)]]&gt;2, "Very high", IF(AllDataApr[[#This Row],[Nitrate (PPM)]]&gt;1, "High", IF(AllDataApr[[#This Row],[Nitrate (PPM)]]&gt;0.5, "Some evidence", IF(AllDataApr[[#This Row],[Nitrate (PPM)]]&gt;0, "No evidence", IF(AllDataApr[[#This Row],[Nitrate (PPM)]]=0, "")))))</f>
        <v>Very high</v>
      </c>
      <c r="S160">
        <v>0.59</v>
      </c>
      <c r="T160" s="7" t="str">
        <f>IF(AllDataApr[[#This Row],[Phosphate (PPM)]]&gt;0.5, "Very high", IF(AllDataApr[[#This Row],[Phosphate (PPM)]]&gt;0.1, "High", IF(AllDataApr[[#This Row],[Phosphate (PPM)]]&gt;0.05, "Some evidence", IF(AllDataApr[[#This Row],[Phosphate (PPM)]]=0, ""))))</f>
        <v>Very high</v>
      </c>
      <c r="U160">
        <v>0</v>
      </c>
    </row>
    <row r="161" spans="1:22" x14ac:dyDescent="0.3">
      <c r="A161" t="s">
        <v>752</v>
      </c>
      <c r="B161" s="2">
        <v>45232</v>
      </c>
      <c r="C161" s="2" t="str" cm="1">
        <f t="array" ref="C16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61">
        <f>YEAR(AllDataApr[[#This Row],[Date]])</f>
        <v>2023</v>
      </c>
      <c r="E161" s="1">
        <v>0.39583333333333331</v>
      </c>
      <c r="F161" s="2" t="str">
        <f>IF(AND(AllDataApr[[#This Row],[Time]]&lt;0.5, AllDataApr[[#This Row],[Time]]&gt;0.17)=TRUE, "Morning", IF(AND(AllDataApr[[#This Row],[Time]]&lt;0.75, AllDataApr[[#This Row],[Time]]&gt;=0.5)=TRUE, "Afternoon", IF(AND(AllDataApr[[#This Row],[Time]]&lt;1, AllDataApr[[#This Row],[Time]]&gt;=0.75)=TRUE, "Evening", "Night")))</f>
        <v>Morning</v>
      </c>
      <c r="G161" t="s">
        <v>46</v>
      </c>
      <c r="H161" t="str">
        <f>_xlfn.XLOOKUP(AllDataApr[[#This Row],[Location Name]], Locations[Row Labels],Locations[Group As])</f>
        <v>Swilgate</v>
      </c>
      <c r="I161" t="str">
        <f>_xlfn.XLOOKUP(AllDataApr[[#This Row],[Site Name]],LocationsKey[Site Name],LocationsKey[Region])</f>
        <v>Tewkesbury</v>
      </c>
      <c r="J161" t="str">
        <f>_xlfn.XLOOKUP(AllDataApr[[#This Row],[Site Name]],LocationsKey[Site Name], LocationsKey[Waterway])</f>
        <v>Swilgate</v>
      </c>
      <c r="K161" t="s">
        <v>47</v>
      </c>
      <c r="N161" t="s">
        <v>200</v>
      </c>
      <c r="O161">
        <v>895</v>
      </c>
      <c r="P161">
        <v>12.2</v>
      </c>
      <c r="Q161">
        <v>2</v>
      </c>
      <c r="R161" s="7" t="str">
        <f>IF(AllDataApr[[#This Row],[Nitrate (PPM)]]&gt;2, "Very high", IF(AllDataApr[[#This Row],[Nitrate (PPM)]]&gt;1, "High", IF(AllDataApr[[#This Row],[Nitrate (PPM)]]&gt;0.5, "Some evidence", IF(AllDataApr[[#This Row],[Nitrate (PPM)]]&gt;0, "No evidence", IF(AllDataApr[[#This Row],[Nitrate (PPM)]]=0, "")))))</f>
        <v>High</v>
      </c>
      <c r="S161">
        <v>0.48</v>
      </c>
      <c r="T161" s="7" t="str">
        <f>IF(AllDataApr[[#This Row],[Phosphate (PPM)]]&gt;0.5, "Very high", IF(AllDataApr[[#This Row],[Phosphate (PPM)]]&gt;0.1, "High", IF(AllDataApr[[#This Row],[Phosphate (PPM)]]&gt;0.05, "Some evidence", IF(AllDataApr[[#This Row],[Phosphate (PPM)]]=0, ""))))</f>
        <v>High</v>
      </c>
      <c r="U161">
        <v>1.5</v>
      </c>
      <c r="V161" t="s">
        <v>132</v>
      </c>
    </row>
    <row r="162" spans="1:22" x14ac:dyDescent="0.3">
      <c r="A162" t="s">
        <v>754</v>
      </c>
      <c r="B162" s="2">
        <v>45232</v>
      </c>
      <c r="C162" s="2" t="str" cm="1">
        <f t="array" ref="C16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62">
        <f>YEAR(AllDataApr[[#This Row],[Date]])</f>
        <v>2023</v>
      </c>
      <c r="E162" s="1">
        <v>0.52500000000000002</v>
      </c>
      <c r="F162" s="2" t="str">
        <f>IF(AND(AllDataApr[[#This Row],[Time]]&lt;0.5, AllDataApr[[#This Row],[Time]]&gt;0.17)=TRUE, "Morning", IF(AND(AllDataApr[[#This Row],[Time]]&lt;0.75, AllDataApr[[#This Row],[Time]]&gt;=0.5)=TRUE, "Afternoon", IF(AND(AllDataApr[[#This Row],[Time]]&lt;1, AllDataApr[[#This Row],[Time]]&gt;=0.75)=TRUE, "Evening", "Night")))</f>
        <v>Afternoon</v>
      </c>
      <c r="G162" t="s">
        <v>59</v>
      </c>
      <c r="H162" t="str">
        <f>_xlfn.XLOOKUP(AllDataApr[[#This Row],[Location Name]], Locations[Row Labels],Locations[Group As])</f>
        <v>Preston-on-Stour River Bridge</v>
      </c>
      <c r="I162" t="str">
        <f>_xlfn.XLOOKUP(AllDataApr[[#This Row],[Site Name]],LocationsKey[Site Name],LocationsKey[Region])</f>
        <v>Stratford</v>
      </c>
      <c r="J162" t="str">
        <f>_xlfn.XLOOKUP(AllDataApr[[#This Row],[Site Name]],LocationsKey[Site Name], LocationsKey[Waterway])</f>
        <v>Stour</v>
      </c>
      <c r="K162" t="s">
        <v>78</v>
      </c>
      <c r="L162">
        <v>52.146543000000001</v>
      </c>
      <c r="M162">
        <v>-1.699527</v>
      </c>
      <c r="N162" t="s">
        <v>18</v>
      </c>
      <c r="O162">
        <v>610</v>
      </c>
      <c r="P162">
        <v>11.9</v>
      </c>
      <c r="Q162">
        <v>5</v>
      </c>
      <c r="R162" s="7" t="str">
        <f>IF(AllDataApr[[#This Row],[Nitrate (PPM)]]&gt;2, "Very high", IF(AllDataApr[[#This Row],[Nitrate (PPM)]]&gt;1, "High", IF(AllDataApr[[#This Row],[Nitrate (PPM)]]&gt;0.5, "Some evidence", IF(AllDataApr[[#This Row],[Nitrate (PPM)]]&gt;0, "No evidence", IF(AllDataApr[[#This Row],[Nitrate (PPM)]]=0, "")))))</f>
        <v>Very high</v>
      </c>
      <c r="S162">
        <v>0.21</v>
      </c>
      <c r="T162" s="7" t="str">
        <f>IF(AllDataApr[[#This Row],[Phosphate (PPM)]]&gt;0.5, "Very high", IF(AllDataApr[[#This Row],[Phosphate (PPM)]]&gt;0.1, "High", IF(AllDataApr[[#This Row],[Phosphate (PPM)]]&gt;0.05, "Some evidence", IF(AllDataApr[[#This Row],[Phosphate (PPM)]]=0, ""))))</f>
        <v>High</v>
      </c>
      <c r="U162">
        <v>2.5</v>
      </c>
      <c r="V162" t="s">
        <v>133</v>
      </c>
    </row>
    <row r="163" spans="1:22" x14ac:dyDescent="0.3">
      <c r="A163" t="s">
        <v>753</v>
      </c>
      <c r="B163" s="2">
        <v>45235</v>
      </c>
      <c r="C163" s="2" t="str" cm="1">
        <f t="array" ref="C16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63">
        <f>YEAR(AllDataApr[[#This Row],[Date]])</f>
        <v>2023</v>
      </c>
      <c r="E163" s="1">
        <v>0.38194444444444442</v>
      </c>
      <c r="F163" s="2" t="str">
        <f>IF(AND(AllDataApr[[#This Row],[Time]]&lt;0.5, AllDataApr[[#This Row],[Time]]&gt;0.17)=TRUE, "Morning", IF(AND(AllDataApr[[#This Row],[Time]]&lt;0.75, AllDataApr[[#This Row],[Time]]&gt;=0.5)=TRUE, "Afternoon", IF(AND(AllDataApr[[#This Row],[Time]]&lt;1, AllDataApr[[#This Row],[Time]]&gt;=0.75)=TRUE, "Evening", "Night")))</f>
        <v>Morning</v>
      </c>
      <c r="G163" t="s">
        <v>11</v>
      </c>
      <c r="H163" t="str">
        <f>_xlfn.XLOOKUP(AllDataApr[[#This Row],[Location Name]], Locations[Row Labels],Locations[Group As])</f>
        <v>Abbey Mill</v>
      </c>
      <c r="I163" t="str">
        <f>_xlfn.XLOOKUP(AllDataApr[[#This Row],[Site Name]],LocationsKey[Site Name],LocationsKey[Region])</f>
        <v>Tewkesbury</v>
      </c>
      <c r="J163" t="str">
        <f>_xlfn.XLOOKUP(AllDataApr[[#This Row],[Site Name]],LocationsKey[Site Name], LocationsKey[Waterway])</f>
        <v>Avon</v>
      </c>
      <c r="K163" t="s">
        <v>12</v>
      </c>
      <c r="N163" t="s">
        <v>200</v>
      </c>
      <c r="O163">
        <v>623</v>
      </c>
      <c r="P163">
        <v>13.4</v>
      </c>
      <c r="Q163">
        <v>9</v>
      </c>
      <c r="R163" s="7" t="str">
        <f>IF(AllDataApr[[#This Row],[Nitrate (PPM)]]&gt;2, "Very high", IF(AllDataApr[[#This Row],[Nitrate (PPM)]]&gt;1, "High", IF(AllDataApr[[#This Row],[Nitrate (PPM)]]&gt;0.5, "Some evidence", IF(AllDataApr[[#This Row],[Nitrate (PPM)]]&gt;0, "No evidence", IF(AllDataApr[[#This Row],[Nitrate (PPM)]]=0, "")))))</f>
        <v>Very high</v>
      </c>
      <c r="S163">
        <v>1.07</v>
      </c>
      <c r="T163" s="7" t="str">
        <f>IF(AllDataApr[[#This Row],[Phosphate (PPM)]]&gt;0.5, "Very high", IF(AllDataApr[[#This Row],[Phosphate (PPM)]]&gt;0.1, "High", IF(AllDataApr[[#This Row],[Phosphate (PPM)]]&gt;0.05, "Some evidence", IF(AllDataApr[[#This Row],[Phosphate (PPM)]]=0, ""))))</f>
        <v>Very high</v>
      </c>
      <c r="U163">
        <v>2</v>
      </c>
      <c r="V163" t="s">
        <v>132</v>
      </c>
    </row>
    <row r="164" spans="1:22" x14ac:dyDescent="0.3">
      <c r="A164" t="s">
        <v>751</v>
      </c>
      <c r="B164" s="2">
        <v>45235</v>
      </c>
      <c r="C164" s="2" t="str" cm="1">
        <f t="array" ref="C16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64">
        <f>YEAR(AllDataApr[[#This Row],[Date]])</f>
        <v>2023</v>
      </c>
      <c r="E164" s="1">
        <v>0.46875</v>
      </c>
      <c r="F164" s="2" t="str">
        <f>IF(AND(AllDataApr[[#This Row],[Time]]&lt;0.5, AllDataApr[[#This Row],[Time]]&gt;0.17)=TRUE, "Morning", IF(AND(AllDataApr[[#This Row],[Time]]&lt;0.75, AllDataApr[[#This Row],[Time]]&gt;=0.5)=TRUE, "Afternoon", IF(AND(AllDataApr[[#This Row],[Time]]&lt;1, AllDataApr[[#This Row],[Time]]&gt;=0.75)=TRUE, "Evening", "Night")))</f>
        <v>Morning</v>
      </c>
      <c r="G164" t="s">
        <v>48</v>
      </c>
      <c r="H164" t="str">
        <f>_xlfn.XLOOKUP(AllDataApr[[#This Row],[Location Name]], Locations[Row Labels],Locations[Group As])</f>
        <v>Pitch 16</v>
      </c>
      <c r="I164" t="str">
        <f>_xlfn.XLOOKUP(AllDataApr[[#This Row],[Site Name]],LocationsKey[Site Name],LocationsKey[Region])</f>
        <v>Stratford</v>
      </c>
      <c r="J164" t="str">
        <f>_xlfn.XLOOKUP(AllDataApr[[#This Row],[Site Name]],LocationsKey[Site Name], LocationsKey[Waterway])</f>
        <v>Avon</v>
      </c>
      <c r="K164" t="s">
        <v>39</v>
      </c>
      <c r="N164" t="s">
        <v>18</v>
      </c>
      <c r="O164">
        <v>565</v>
      </c>
      <c r="P164">
        <v>12.5</v>
      </c>
      <c r="Q164">
        <v>5</v>
      </c>
      <c r="R164" s="7" t="str">
        <f>IF(AllDataApr[[#This Row],[Nitrate (PPM)]]&gt;2, "Very high", IF(AllDataApr[[#This Row],[Nitrate (PPM)]]&gt;1, "High", IF(AllDataApr[[#This Row],[Nitrate (PPM)]]&gt;0.5, "Some evidence", IF(AllDataApr[[#This Row],[Nitrate (PPM)]]&gt;0, "No evidence", IF(AllDataApr[[#This Row],[Nitrate (PPM)]]=0, "")))))</f>
        <v>Very high</v>
      </c>
      <c r="S164">
        <v>1.35</v>
      </c>
      <c r="T164" s="7" t="str">
        <f>IF(AllDataApr[[#This Row],[Phosphate (PPM)]]&gt;0.5, "Very high", IF(AllDataApr[[#This Row],[Phosphate (PPM)]]&gt;0.1, "High", IF(AllDataApr[[#This Row],[Phosphate (PPM)]]&gt;0.05, "Some evidence", IF(AllDataApr[[#This Row],[Phosphate (PPM)]]=0, ""))))</f>
        <v>Very high</v>
      </c>
      <c r="U164">
        <v>1</v>
      </c>
    </row>
    <row r="165" spans="1:22" x14ac:dyDescent="0.3">
      <c r="A165" t="s">
        <v>740</v>
      </c>
      <c r="B165" s="2">
        <v>45235</v>
      </c>
      <c r="C165" s="2" t="str" cm="1">
        <f t="array" ref="C16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65">
        <f>YEAR(AllDataApr[[#This Row],[Date]])</f>
        <v>2023</v>
      </c>
      <c r="E165" s="1">
        <v>0.48958333333333331</v>
      </c>
      <c r="F165" s="2" t="str">
        <f>IF(AND(AllDataApr[[#This Row],[Time]]&lt;0.5, AllDataApr[[#This Row],[Time]]&gt;0.17)=TRUE, "Morning", IF(AND(AllDataApr[[#This Row],[Time]]&lt;0.75, AllDataApr[[#This Row],[Time]]&gt;=0.5)=TRUE, "Afternoon", IF(AND(AllDataApr[[#This Row],[Time]]&lt;1, AllDataApr[[#This Row],[Time]]&gt;=0.75)=TRUE, "Evening", "Night")))</f>
        <v>Morning</v>
      </c>
      <c r="G165" t="s">
        <v>20</v>
      </c>
      <c r="H165" t="str">
        <f>_xlfn.XLOOKUP(AllDataApr[[#This Row],[Location Name]], Locations[Row Labels],Locations[Group As])</f>
        <v>Hampton Wood</v>
      </c>
      <c r="I165" t="str">
        <f>_xlfn.XLOOKUP(AllDataApr[[#This Row],[Site Name]],LocationsKey[Site Name],LocationsKey[Region])</f>
        <v>Stratford</v>
      </c>
      <c r="J165" t="str">
        <f>_xlfn.XLOOKUP(AllDataApr[[#This Row],[Site Name]],LocationsKey[Site Name], LocationsKey[Waterway])</f>
        <v>Avon</v>
      </c>
      <c r="K165" t="s">
        <v>25</v>
      </c>
      <c r="L165">
        <v>52.238149999999997</v>
      </c>
      <c r="M165">
        <v>-1.6245799999999999</v>
      </c>
      <c r="N165" t="s">
        <v>18</v>
      </c>
      <c r="O165">
        <v>568</v>
      </c>
      <c r="P165">
        <v>11.1</v>
      </c>
      <c r="Q165">
        <v>3</v>
      </c>
      <c r="R165" s="7" t="str">
        <f>IF(AllDataApr[[#This Row],[Nitrate (PPM)]]&gt;2, "Very high", IF(AllDataApr[[#This Row],[Nitrate (PPM)]]&gt;1, "High", IF(AllDataApr[[#This Row],[Nitrate (PPM)]]&gt;0.5, "Some evidence", IF(AllDataApr[[#This Row],[Nitrate (PPM)]]&gt;0, "No evidence", IF(AllDataApr[[#This Row],[Nitrate (PPM)]]=0, "")))))</f>
        <v>Very high</v>
      </c>
      <c r="S165">
        <v>0.55000000000000004</v>
      </c>
      <c r="T165" s="7" t="str">
        <f>IF(AllDataApr[[#This Row],[Phosphate (PPM)]]&gt;0.5, "Very high", IF(AllDataApr[[#This Row],[Phosphate (PPM)]]&gt;0.1, "High", IF(AllDataApr[[#This Row],[Phosphate (PPM)]]&gt;0.05, "Some evidence", IF(AllDataApr[[#This Row],[Phosphate (PPM)]]=0, ""))))</f>
        <v>Very high</v>
      </c>
      <c r="U165">
        <v>0</v>
      </c>
      <c r="V165" t="s">
        <v>135</v>
      </c>
    </row>
    <row r="166" spans="1:22" x14ac:dyDescent="0.3">
      <c r="A166" t="s">
        <v>750</v>
      </c>
      <c r="B166" s="2">
        <v>45235</v>
      </c>
      <c r="C166" s="2" t="str" cm="1">
        <f t="array" ref="C16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66">
        <f>YEAR(AllDataApr[[#This Row],[Date]])</f>
        <v>2023</v>
      </c>
      <c r="E166" s="1">
        <v>0.48958333333333331</v>
      </c>
      <c r="F166" s="2" t="str">
        <f>IF(AND(AllDataApr[[#This Row],[Time]]&lt;0.5, AllDataApr[[#This Row],[Time]]&gt;0.17)=TRUE, "Morning", IF(AND(AllDataApr[[#This Row],[Time]]&lt;0.75, AllDataApr[[#This Row],[Time]]&gt;=0.5)=TRUE, "Afternoon", IF(AND(AllDataApr[[#This Row],[Time]]&lt;1, AllDataApr[[#This Row],[Time]]&gt;=0.75)=TRUE, "Evening", "Night")))</f>
        <v>Morning</v>
      </c>
      <c r="G166" t="s">
        <v>48</v>
      </c>
      <c r="H166" t="str">
        <f>_xlfn.XLOOKUP(AllDataApr[[#This Row],[Location Name]], Locations[Row Labels],Locations[Group As])</f>
        <v>Avonbank Drive</v>
      </c>
      <c r="I166" t="str">
        <f>_xlfn.XLOOKUP(AllDataApr[[#This Row],[Site Name]],LocationsKey[Site Name],LocationsKey[Region])</f>
        <v>Stratford</v>
      </c>
      <c r="J166" t="str">
        <f>_xlfn.XLOOKUP(AllDataApr[[#This Row],[Site Name]],LocationsKey[Site Name], LocationsKey[Waterway])</f>
        <v>Avon</v>
      </c>
      <c r="K166" t="s">
        <v>71</v>
      </c>
      <c r="N166" t="s">
        <v>42</v>
      </c>
      <c r="O166">
        <v>570</v>
      </c>
      <c r="P166">
        <v>12.5</v>
      </c>
      <c r="Q166">
        <v>5</v>
      </c>
      <c r="R166" s="7" t="str">
        <f>IF(AllDataApr[[#This Row],[Nitrate (PPM)]]&gt;2, "Very high", IF(AllDataApr[[#This Row],[Nitrate (PPM)]]&gt;1, "High", IF(AllDataApr[[#This Row],[Nitrate (PPM)]]&gt;0.5, "Some evidence", IF(AllDataApr[[#This Row],[Nitrate (PPM)]]&gt;0, "No evidence", IF(AllDataApr[[#This Row],[Nitrate (PPM)]]=0, "")))))</f>
        <v>Very high</v>
      </c>
      <c r="S166">
        <v>1.06</v>
      </c>
      <c r="T166" s="7" t="str">
        <f>IF(AllDataApr[[#This Row],[Phosphate (PPM)]]&gt;0.5, "Very high", IF(AllDataApr[[#This Row],[Phosphate (PPM)]]&gt;0.1, "High", IF(AllDataApr[[#This Row],[Phosphate (PPM)]]&gt;0.05, "Some evidence", IF(AllDataApr[[#This Row],[Phosphate (PPM)]]=0, ""))))</f>
        <v>Very high</v>
      </c>
      <c r="U166">
        <v>1</v>
      </c>
      <c r="V166" t="s">
        <v>138</v>
      </c>
    </row>
    <row r="167" spans="1:22" x14ac:dyDescent="0.3">
      <c r="A167" t="s">
        <v>749</v>
      </c>
      <c r="B167" s="2">
        <v>45235</v>
      </c>
      <c r="C167" s="2" t="str" cm="1">
        <f t="array" ref="C16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67">
        <f>YEAR(AllDataApr[[#This Row],[Date]])</f>
        <v>2023</v>
      </c>
      <c r="E167" s="1">
        <v>0.52083333333333337</v>
      </c>
      <c r="F167" s="2" t="str">
        <f>IF(AND(AllDataApr[[#This Row],[Time]]&lt;0.5, AllDataApr[[#This Row],[Time]]&gt;0.17)=TRUE, "Morning", IF(AND(AllDataApr[[#This Row],[Time]]&lt;0.75, AllDataApr[[#This Row],[Time]]&gt;=0.5)=TRUE, "Afternoon", IF(AND(AllDataApr[[#This Row],[Time]]&lt;1, AllDataApr[[#This Row],[Time]]&gt;=0.75)=TRUE, "Evening", "Night")))</f>
        <v>Afternoon</v>
      </c>
      <c r="G167" t="s">
        <v>52</v>
      </c>
      <c r="H167" t="str">
        <f>_xlfn.XLOOKUP(AllDataApr[[#This Row],[Location Name]], Locations[Row Labels],Locations[Group As])</f>
        <v>Carrant Bredon Rd</v>
      </c>
      <c r="I167" t="str">
        <f>_xlfn.XLOOKUP(AllDataApr[[#This Row],[Site Name]],LocationsKey[Site Name],LocationsKey[Region])</f>
        <v>Tewkesbury</v>
      </c>
      <c r="J167" t="str">
        <f>_xlfn.XLOOKUP(AllDataApr[[#This Row],[Site Name]],LocationsKey[Site Name], LocationsKey[Waterway])</f>
        <v>Carrant</v>
      </c>
      <c r="K167" t="s">
        <v>53</v>
      </c>
      <c r="N167" t="s">
        <v>200</v>
      </c>
      <c r="O167">
        <v>738</v>
      </c>
      <c r="P167">
        <v>11.7</v>
      </c>
      <c r="Q167">
        <v>6</v>
      </c>
      <c r="R167" s="7" t="str">
        <f>IF(AllDataApr[[#This Row],[Nitrate (PPM)]]&gt;2, "Very high", IF(AllDataApr[[#This Row],[Nitrate (PPM)]]&gt;1, "High", IF(AllDataApr[[#This Row],[Nitrate (PPM)]]&gt;0.5, "Some evidence", IF(AllDataApr[[#This Row],[Nitrate (PPM)]]&gt;0, "No evidence", IF(AllDataApr[[#This Row],[Nitrate (PPM)]]=0, "")))))</f>
        <v>Very high</v>
      </c>
      <c r="S167">
        <v>0.32</v>
      </c>
      <c r="T167" s="7" t="str">
        <f>IF(AllDataApr[[#This Row],[Phosphate (PPM)]]&gt;0.5, "Very high", IF(AllDataApr[[#This Row],[Phosphate (PPM)]]&gt;0.1, "High", IF(AllDataApr[[#This Row],[Phosphate (PPM)]]&gt;0.05, "Some evidence", IF(AllDataApr[[#This Row],[Phosphate (PPM)]]=0, ""))))</f>
        <v>High</v>
      </c>
      <c r="U167">
        <v>1</v>
      </c>
      <c r="V167" t="s">
        <v>137</v>
      </c>
    </row>
    <row r="168" spans="1:22" x14ac:dyDescent="0.3">
      <c r="A168" t="s">
        <v>737</v>
      </c>
      <c r="B168" s="2">
        <v>45235</v>
      </c>
      <c r="C168" s="2" t="str" cm="1">
        <f t="array" ref="C16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68">
        <f>YEAR(AllDataApr[[#This Row],[Date]])</f>
        <v>2023</v>
      </c>
      <c r="E168" s="1">
        <v>0.53472222222222221</v>
      </c>
      <c r="F168" s="2" t="str">
        <f>IF(AND(AllDataApr[[#This Row],[Time]]&lt;0.5, AllDataApr[[#This Row],[Time]]&gt;0.17)=TRUE, "Morning", IF(AND(AllDataApr[[#This Row],[Time]]&lt;0.75, AllDataApr[[#This Row],[Time]]&gt;=0.5)=TRUE, "Afternoon", IF(AND(AllDataApr[[#This Row],[Time]]&lt;1, AllDataApr[[#This Row],[Time]]&gt;=0.75)=TRUE, "Evening", "Night")))</f>
        <v>Afternoon</v>
      </c>
      <c r="G168" t="s">
        <v>95</v>
      </c>
      <c r="H168" t="str">
        <f>_xlfn.XLOOKUP(AllDataApr[[#This Row],[Location Name]], Locations[Row Labels],Locations[Group As])</f>
        <v>Hampton Lucy</v>
      </c>
      <c r="I168" t="str">
        <f>_xlfn.XLOOKUP(AllDataApr[[#This Row],[Site Name]],LocationsKey[Site Name],LocationsKey[Region])</f>
        <v>Stratford</v>
      </c>
      <c r="J168" t="str">
        <f>_xlfn.XLOOKUP(AllDataApr[[#This Row],[Site Name]],LocationsKey[Site Name], LocationsKey[Waterway])</f>
        <v>Avon</v>
      </c>
      <c r="K168" t="s">
        <v>27</v>
      </c>
      <c r="L168">
        <v>52.211680000000001</v>
      </c>
      <c r="M168">
        <v>-1.6244400000000001</v>
      </c>
      <c r="N168" t="s">
        <v>200</v>
      </c>
      <c r="O168">
        <v>570</v>
      </c>
      <c r="P168">
        <v>11.4</v>
      </c>
      <c r="Q168">
        <v>2</v>
      </c>
      <c r="R168" s="7" t="str">
        <f>IF(AllDataApr[[#This Row],[Nitrate (PPM)]]&gt;2, "Very high", IF(AllDataApr[[#This Row],[Nitrate (PPM)]]&gt;1, "High", IF(AllDataApr[[#This Row],[Nitrate (PPM)]]&gt;0.5, "Some evidence", IF(AllDataApr[[#This Row],[Nitrate (PPM)]]&gt;0, "No evidence", IF(AllDataApr[[#This Row],[Nitrate (PPM)]]=0, "")))))</f>
        <v>High</v>
      </c>
      <c r="S168">
        <v>0.54</v>
      </c>
      <c r="T168" s="7" t="str">
        <f>IF(AllDataApr[[#This Row],[Phosphate (PPM)]]&gt;0.5, "Very high", IF(AllDataApr[[#This Row],[Phosphate (PPM)]]&gt;0.1, "High", IF(AllDataApr[[#This Row],[Phosphate (PPM)]]&gt;0.05, "Some evidence", IF(AllDataApr[[#This Row],[Phosphate (PPM)]]=0, ""))))</f>
        <v>Very high</v>
      </c>
      <c r="U168">
        <v>0</v>
      </c>
    </row>
    <row r="169" spans="1:22" x14ac:dyDescent="0.3">
      <c r="A169" t="s">
        <v>748</v>
      </c>
      <c r="B169" s="2">
        <v>45235</v>
      </c>
      <c r="C169" s="2" t="str" cm="1">
        <f t="array" ref="C16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69">
        <f>YEAR(AllDataApr[[#This Row],[Date]])</f>
        <v>2023</v>
      </c>
      <c r="E169" s="1">
        <v>0.63263888888888886</v>
      </c>
      <c r="F169" s="2" t="str">
        <f>IF(AND(AllDataApr[[#This Row],[Time]]&lt;0.5, AllDataApr[[#This Row],[Time]]&gt;0.17)=TRUE, "Morning", IF(AND(AllDataApr[[#This Row],[Time]]&lt;0.75, AllDataApr[[#This Row],[Time]]&gt;=0.5)=TRUE, "Afternoon", IF(AND(AllDataApr[[#This Row],[Time]]&lt;1, AllDataApr[[#This Row],[Time]]&gt;=0.75)=TRUE, "Evening", "Night")))</f>
        <v>Afternoon</v>
      </c>
      <c r="G169" t="s">
        <v>112</v>
      </c>
      <c r="H169" t="str">
        <f>_xlfn.XLOOKUP(AllDataApr[[#This Row],[Location Name]], Locations[Row Labels],Locations[Group As])</f>
        <v>Clifford Chambers Mill Bridge</v>
      </c>
      <c r="I169" t="str">
        <f>_xlfn.XLOOKUP(AllDataApr[[#This Row],[Site Name]],LocationsKey[Site Name],LocationsKey[Region])</f>
        <v>Stratford</v>
      </c>
      <c r="J169" t="str">
        <f>_xlfn.XLOOKUP(AllDataApr[[#This Row],[Site Name]],LocationsKey[Site Name], LocationsKey[Waterway])</f>
        <v>Stour</v>
      </c>
      <c r="K169" t="s">
        <v>119</v>
      </c>
      <c r="L169">
        <v>52.166037000000003</v>
      </c>
      <c r="M169">
        <v>-1.708032</v>
      </c>
      <c r="N169" t="s">
        <v>1047</v>
      </c>
      <c r="O169">
        <v>486</v>
      </c>
      <c r="P169">
        <v>12</v>
      </c>
      <c r="Q169">
        <v>7</v>
      </c>
      <c r="R169" s="7" t="str">
        <f>IF(AllDataApr[[#This Row],[Nitrate (PPM)]]&gt;2, "Very high", IF(AllDataApr[[#This Row],[Nitrate (PPM)]]&gt;1, "High", IF(AllDataApr[[#This Row],[Nitrate (PPM)]]&gt;0.5, "Some evidence", IF(AllDataApr[[#This Row],[Nitrate (PPM)]]&gt;0, "No evidence", IF(AllDataApr[[#This Row],[Nitrate (PPM)]]=0, "")))))</f>
        <v>Very high</v>
      </c>
      <c r="S169">
        <v>0.42</v>
      </c>
      <c r="T169" s="7" t="str">
        <f>IF(AllDataApr[[#This Row],[Phosphate (PPM)]]&gt;0.5, "Very high", IF(AllDataApr[[#This Row],[Phosphate (PPM)]]&gt;0.1, "High", IF(AllDataApr[[#This Row],[Phosphate (PPM)]]&gt;0.05, "Some evidence", IF(AllDataApr[[#This Row],[Phosphate (PPM)]]=0, ""))))</f>
        <v>High</v>
      </c>
      <c r="U169">
        <v>1.7</v>
      </c>
      <c r="V169" t="s">
        <v>136</v>
      </c>
    </row>
    <row r="170" spans="1:22" x14ac:dyDescent="0.3">
      <c r="A170" t="s">
        <v>736</v>
      </c>
      <c r="B170" s="2">
        <v>45235</v>
      </c>
      <c r="C170" s="2" t="str" cm="1">
        <f t="array" ref="C17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70">
        <f>YEAR(AllDataApr[[#This Row],[Date]])</f>
        <v>2023</v>
      </c>
      <c r="E170" s="1">
        <v>0.66666666666666663</v>
      </c>
      <c r="F170" s="2" t="str">
        <f>IF(AND(AllDataApr[[#This Row],[Time]]&lt;0.5, AllDataApr[[#This Row],[Time]]&gt;0.17)=TRUE, "Morning", IF(AND(AllDataApr[[#This Row],[Time]]&lt;0.75, AllDataApr[[#This Row],[Time]]&gt;=0.5)=TRUE, "Afternoon", IF(AND(AllDataApr[[#This Row],[Time]]&lt;1, AllDataApr[[#This Row],[Time]]&gt;=0.75)=TRUE, "Evening", "Night")))</f>
        <v>Afternoon</v>
      </c>
      <c r="G170" t="s">
        <v>35</v>
      </c>
      <c r="H170" t="str">
        <f>_xlfn.XLOOKUP(AllDataApr[[#This Row],[Location Name]], Locations[Row Labels],Locations[Group As])</f>
        <v>Welford Boat Station</v>
      </c>
      <c r="I170" t="str">
        <f>_xlfn.XLOOKUP(AllDataApr[[#This Row],[Site Name]],LocationsKey[Site Name],LocationsKey[Region])</f>
        <v>Stratford</v>
      </c>
      <c r="J170" t="str">
        <f>_xlfn.XLOOKUP(AllDataApr[[#This Row],[Site Name]],LocationsKey[Site Name], LocationsKey[Waterway])</f>
        <v>Avon</v>
      </c>
      <c r="K170" t="s">
        <v>22</v>
      </c>
      <c r="L170">
        <v>52.175240000000002</v>
      </c>
      <c r="M170">
        <v>-1.7918700000000001</v>
      </c>
      <c r="N170" t="s">
        <v>18</v>
      </c>
      <c r="O170">
        <v>570</v>
      </c>
      <c r="P170">
        <v>10.8</v>
      </c>
      <c r="Q170">
        <v>2</v>
      </c>
      <c r="R170" s="7" t="str">
        <f>IF(AllDataApr[[#This Row],[Nitrate (PPM)]]&gt;2, "Very high", IF(AllDataApr[[#This Row],[Nitrate (PPM)]]&gt;1, "High", IF(AllDataApr[[#This Row],[Nitrate (PPM)]]&gt;0.5, "Some evidence", IF(AllDataApr[[#This Row],[Nitrate (PPM)]]&gt;0, "No evidence", IF(AllDataApr[[#This Row],[Nitrate (PPM)]]=0, "")))))</f>
        <v>High</v>
      </c>
      <c r="S170">
        <v>0.37</v>
      </c>
      <c r="T170" s="7" t="str">
        <f>IF(AllDataApr[[#This Row],[Phosphate (PPM)]]&gt;0.5, "Very high", IF(AllDataApr[[#This Row],[Phosphate (PPM)]]&gt;0.1, "High", IF(AllDataApr[[#This Row],[Phosphate (PPM)]]&gt;0.05, "Some evidence", IF(AllDataApr[[#This Row],[Phosphate (PPM)]]=0, ""))))</f>
        <v>High</v>
      </c>
      <c r="U170">
        <v>0</v>
      </c>
      <c r="V170" t="s">
        <v>134</v>
      </c>
    </row>
    <row r="171" spans="1:22" x14ac:dyDescent="0.3">
      <c r="A171" t="s">
        <v>747</v>
      </c>
      <c r="B171" s="2">
        <v>45237</v>
      </c>
      <c r="C171" s="2" t="str" cm="1">
        <f t="array" ref="C17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71">
        <f>YEAR(AllDataApr[[#This Row],[Date]])</f>
        <v>2023</v>
      </c>
      <c r="E171" s="1">
        <v>0.625</v>
      </c>
      <c r="F171" s="2" t="str">
        <f>IF(AND(AllDataApr[[#This Row],[Time]]&lt;0.5, AllDataApr[[#This Row],[Time]]&gt;0.17)=TRUE, "Morning", IF(AND(AllDataApr[[#This Row],[Time]]&lt;0.75, AllDataApr[[#This Row],[Time]]&gt;=0.5)=TRUE, "Afternoon", IF(AND(AllDataApr[[#This Row],[Time]]&lt;1, AllDataApr[[#This Row],[Time]]&gt;=0.75)=TRUE, "Evening", "Night")))</f>
        <v>Afternoon</v>
      </c>
      <c r="G171" t="s">
        <v>129</v>
      </c>
      <c r="H171" t="str">
        <f>_xlfn.XLOOKUP(AllDataApr[[#This Row],[Location Name]], Locations[Row Labels],Locations[Group As])</f>
        <v>Alveston Weir</v>
      </c>
      <c r="I171" t="str">
        <f>_xlfn.XLOOKUP(AllDataApr[[#This Row],[Site Name]],LocationsKey[Site Name],LocationsKey[Region])</f>
        <v>Stratford</v>
      </c>
      <c r="J171" t="str">
        <f>_xlfn.XLOOKUP(AllDataApr[[#This Row],[Site Name]],LocationsKey[Site Name], LocationsKey[Waterway])</f>
        <v>Avon</v>
      </c>
      <c r="K171" t="s">
        <v>128</v>
      </c>
      <c r="L171">
        <v>52.214388999999997</v>
      </c>
      <c r="M171">
        <v>-1.6601520000000001</v>
      </c>
      <c r="N171" t="s">
        <v>18</v>
      </c>
      <c r="O171">
        <v>652</v>
      </c>
      <c r="P171">
        <v>15.5</v>
      </c>
      <c r="Q171">
        <v>5</v>
      </c>
      <c r="R171" s="7" t="str">
        <f>IF(AllDataApr[[#This Row],[Nitrate (PPM)]]&gt;2, "Very high", IF(AllDataApr[[#This Row],[Nitrate (PPM)]]&gt;1, "High", IF(AllDataApr[[#This Row],[Nitrate (PPM)]]&gt;0.5, "Some evidence", IF(AllDataApr[[#This Row],[Nitrate (PPM)]]&gt;0, "No evidence", IF(AllDataApr[[#This Row],[Nitrate (PPM)]]=0, "")))))</f>
        <v>Very high</v>
      </c>
      <c r="S171">
        <v>0.41</v>
      </c>
      <c r="T171" s="7" t="str">
        <f>IF(AllDataApr[[#This Row],[Phosphate (PPM)]]&gt;0.5, "Very high", IF(AllDataApr[[#This Row],[Phosphate (PPM)]]&gt;0.1, "High", IF(AllDataApr[[#This Row],[Phosphate (PPM)]]&gt;0.05, "Some evidence", IF(AllDataApr[[#This Row],[Phosphate (PPM)]]=0, ""))))</f>
        <v>High</v>
      </c>
      <c r="U171">
        <v>0</v>
      </c>
      <c r="V171" t="s">
        <v>141</v>
      </c>
    </row>
    <row r="172" spans="1:22" x14ac:dyDescent="0.3">
      <c r="A172" t="s">
        <v>746</v>
      </c>
      <c r="B172" s="2">
        <v>45237</v>
      </c>
      <c r="C172" s="2" t="str" cm="1">
        <f t="array" ref="C17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72">
        <f>YEAR(AllDataApr[[#This Row],[Date]])</f>
        <v>2023</v>
      </c>
      <c r="E172" s="1">
        <v>0.62847222222222221</v>
      </c>
      <c r="F172" s="2" t="str">
        <f>IF(AND(AllDataApr[[#This Row],[Time]]&lt;0.5, AllDataApr[[#This Row],[Time]]&gt;0.17)=TRUE, "Morning", IF(AND(AllDataApr[[#This Row],[Time]]&lt;0.75, AllDataApr[[#This Row],[Time]]&gt;=0.5)=TRUE, "Afternoon", IF(AND(AllDataApr[[#This Row],[Time]]&lt;1, AllDataApr[[#This Row],[Time]]&gt;=0.75)=TRUE, "Evening", "Night")))</f>
        <v>Afternoon</v>
      </c>
      <c r="G172" t="s">
        <v>139</v>
      </c>
      <c r="H172" t="str">
        <f>_xlfn.XLOOKUP(AllDataApr[[#This Row],[Location Name]], Locations[Row Labels],Locations[Group As])</f>
        <v>Swiffen Bank</v>
      </c>
      <c r="I172" t="str">
        <f>_xlfn.XLOOKUP(AllDataApr[[#This Row],[Site Name]],LocationsKey[Site Name],LocationsKey[Region])</f>
        <v>Stratford</v>
      </c>
      <c r="J172" t="str">
        <f>_xlfn.XLOOKUP(AllDataApr[[#This Row],[Site Name]],LocationsKey[Site Name], LocationsKey[Waterway])</f>
        <v>Avon</v>
      </c>
      <c r="K172" t="s">
        <v>130</v>
      </c>
      <c r="L172">
        <v>52.206339</v>
      </c>
      <c r="M172">
        <v>-1.6550020000000001</v>
      </c>
      <c r="N172" t="s">
        <v>18</v>
      </c>
      <c r="O172">
        <v>561</v>
      </c>
      <c r="P172">
        <v>15</v>
      </c>
      <c r="Q172">
        <v>5</v>
      </c>
      <c r="R172" s="7" t="str">
        <f>IF(AllDataApr[[#This Row],[Nitrate (PPM)]]&gt;2, "Very high", IF(AllDataApr[[#This Row],[Nitrate (PPM)]]&gt;1, "High", IF(AllDataApr[[#This Row],[Nitrate (PPM)]]&gt;0.5, "Some evidence", IF(AllDataApr[[#This Row],[Nitrate (PPM)]]&gt;0, "No evidence", IF(AllDataApr[[#This Row],[Nitrate (PPM)]]=0, "")))))</f>
        <v>Very high</v>
      </c>
      <c r="S172">
        <v>0.42</v>
      </c>
      <c r="T172" s="7" t="str">
        <f>IF(AllDataApr[[#This Row],[Phosphate (PPM)]]&gt;0.5, "Very high", IF(AllDataApr[[#This Row],[Phosphate (PPM)]]&gt;0.1, "High", IF(AllDataApr[[#This Row],[Phosphate (PPM)]]&gt;0.05, "Some evidence", IF(AllDataApr[[#This Row],[Phosphate (PPM)]]=0, ""))))</f>
        <v>High</v>
      </c>
      <c r="U172">
        <v>1</v>
      </c>
      <c r="V172" t="s">
        <v>140</v>
      </c>
    </row>
    <row r="173" spans="1:22" x14ac:dyDescent="0.3">
      <c r="A173" t="s">
        <v>733</v>
      </c>
      <c r="B173" s="2">
        <v>45237</v>
      </c>
      <c r="C173" s="2" t="str" cm="1">
        <f t="array" ref="C17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73">
        <f>YEAR(AllDataApr[[#This Row],[Date]])</f>
        <v>2023</v>
      </c>
      <c r="E173" s="1">
        <v>0.65625</v>
      </c>
      <c r="F173" s="2" t="str">
        <f>IF(AND(AllDataApr[[#This Row],[Time]]&lt;0.5, AllDataApr[[#This Row],[Time]]&gt;0.17)=TRUE, "Morning", IF(AND(AllDataApr[[#This Row],[Time]]&lt;0.75, AllDataApr[[#This Row],[Time]]&gt;=0.5)=TRUE, "Afternoon", IF(AND(AllDataApr[[#This Row],[Time]]&lt;1, AllDataApr[[#This Row],[Time]]&gt;=0.75)=TRUE, "Evening", "Night")))</f>
        <v>Afternoon</v>
      </c>
      <c r="G173" t="s">
        <v>20</v>
      </c>
      <c r="H173" t="str">
        <f>_xlfn.XLOOKUP(AllDataApr[[#This Row],[Location Name]], Locations[Row Labels],Locations[Group As])</f>
        <v>Weston-on-Avon</v>
      </c>
      <c r="I173" t="str">
        <f>_xlfn.XLOOKUP(AllDataApr[[#This Row],[Site Name]],LocationsKey[Site Name],LocationsKey[Region])</f>
        <v>Stratford</v>
      </c>
      <c r="J173" t="str">
        <f>_xlfn.XLOOKUP(AllDataApr[[#This Row],[Site Name]],LocationsKey[Site Name], LocationsKey[Waterway])</f>
        <v>Avon</v>
      </c>
      <c r="K173" t="s">
        <v>23</v>
      </c>
      <c r="L173">
        <v>52.167430000000003</v>
      </c>
      <c r="M173">
        <v>-1.7744800000000001</v>
      </c>
      <c r="N173" t="s">
        <v>18</v>
      </c>
      <c r="O173">
        <v>664</v>
      </c>
      <c r="P173">
        <v>10.7</v>
      </c>
      <c r="Q173">
        <v>3</v>
      </c>
      <c r="R173" s="7" t="str">
        <f>IF(AllDataApr[[#This Row],[Nitrate (PPM)]]&gt;2, "Very high", IF(AllDataApr[[#This Row],[Nitrate (PPM)]]&gt;1, "High", IF(AllDataApr[[#This Row],[Nitrate (PPM)]]&gt;0.5, "Some evidence", IF(AllDataApr[[#This Row],[Nitrate (PPM)]]&gt;0, "No evidence", IF(AllDataApr[[#This Row],[Nitrate (PPM)]]=0, "")))))</f>
        <v>Very high</v>
      </c>
      <c r="S173">
        <v>0.43</v>
      </c>
      <c r="T173" s="7" t="str">
        <f>IF(AllDataApr[[#This Row],[Phosphate (PPM)]]&gt;0.5, "Very high", IF(AllDataApr[[#This Row],[Phosphate (PPM)]]&gt;0.1, "High", IF(AllDataApr[[#This Row],[Phosphate (PPM)]]&gt;0.05, "Some evidence", IF(AllDataApr[[#This Row],[Phosphate (PPM)]]=0, ""))))</f>
        <v>High</v>
      </c>
      <c r="U173">
        <v>0</v>
      </c>
    </row>
    <row r="174" spans="1:22" x14ac:dyDescent="0.3">
      <c r="A174" t="s">
        <v>728</v>
      </c>
      <c r="B174" s="2">
        <v>45238</v>
      </c>
      <c r="C174" s="2" t="str" cm="1">
        <f t="array" ref="C17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74">
        <f>YEAR(AllDataApr[[#This Row],[Date]])</f>
        <v>2023</v>
      </c>
      <c r="E174" s="1">
        <v>0.66666666666666663</v>
      </c>
      <c r="F174" s="2" t="str">
        <f>IF(AND(AllDataApr[[#This Row],[Time]]&lt;0.5, AllDataApr[[#This Row],[Time]]&gt;0.17)=TRUE, "Morning", IF(AND(AllDataApr[[#This Row],[Time]]&lt;0.75, AllDataApr[[#This Row],[Time]]&gt;=0.5)=TRUE, "Afternoon", IF(AND(AllDataApr[[#This Row],[Time]]&lt;1, AllDataApr[[#This Row],[Time]]&gt;=0.75)=TRUE, "Evening", "Night")))</f>
        <v>Afternoon</v>
      </c>
      <c r="G174" t="s">
        <v>57</v>
      </c>
      <c r="H174" t="str">
        <f>_xlfn.XLOOKUP(AllDataApr[[#This Row],[Location Name]], Locations[Row Labels],Locations[Group As])</f>
        <v>Stour Newbold Mill</v>
      </c>
      <c r="I174" t="str">
        <f>_xlfn.XLOOKUP(AllDataApr[[#This Row],[Site Name]],LocationsKey[Site Name],LocationsKey[Region])</f>
        <v>Shipston</v>
      </c>
      <c r="J174" t="str">
        <f>_xlfn.XLOOKUP(AllDataApr[[#This Row],[Site Name]],LocationsKey[Site Name], LocationsKey[Waterway])</f>
        <v>Stour</v>
      </c>
      <c r="K174" t="s">
        <v>66</v>
      </c>
      <c r="L174">
        <v>52.112864999999999</v>
      </c>
      <c r="M174">
        <v>-1.6334340000000001</v>
      </c>
      <c r="N174" t="s">
        <v>18</v>
      </c>
      <c r="O174">
        <v>854</v>
      </c>
      <c r="P174">
        <v>10.3</v>
      </c>
      <c r="Q174">
        <v>5</v>
      </c>
      <c r="R174" s="7" t="str">
        <f>IF(AllDataApr[[#This Row],[Nitrate (PPM)]]&gt;2, "Very high", IF(AllDataApr[[#This Row],[Nitrate (PPM)]]&gt;1, "High", IF(AllDataApr[[#This Row],[Nitrate (PPM)]]&gt;0.5, "Some evidence", IF(AllDataApr[[#This Row],[Nitrate (PPM)]]&gt;0, "No evidence", IF(AllDataApr[[#This Row],[Nitrate (PPM)]]=0, "")))))</f>
        <v>Very high</v>
      </c>
      <c r="S174">
        <v>0.26</v>
      </c>
      <c r="T174" s="7" t="str">
        <f>IF(AllDataApr[[#This Row],[Phosphate (PPM)]]&gt;0.5, "Very high", IF(AllDataApr[[#This Row],[Phosphate (PPM)]]&gt;0.1, "High", IF(AllDataApr[[#This Row],[Phosphate (PPM)]]&gt;0.05, "Some evidence", IF(AllDataApr[[#This Row],[Phosphate (PPM)]]=0, ""))))</f>
        <v>High</v>
      </c>
      <c r="U174">
        <v>2.5</v>
      </c>
      <c r="V174" t="s">
        <v>142</v>
      </c>
    </row>
    <row r="175" spans="1:22" x14ac:dyDescent="0.3">
      <c r="A175" t="s">
        <v>732</v>
      </c>
      <c r="B175" s="2">
        <v>45239</v>
      </c>
      <c r="C175" s="2" t="str" cm="1">
        <f t="array" ref="C17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75">
        <f>YEAR(AllDataApr[[#This Row],[Date]])</f>
        <v>2023</v>
      </c>
      <c r="E175" s="1">
        <v>0.39583333333333331</v>
      </c>
      <c r="F175" s="2" t="str">
        <f>IF(AND(AllDataApr[[#This Row],[Time]]&lt;0.5, AllDataApr[[#This Row],[Time]]&gt;0.17)=TRUE, "Morning", IF(AND(AllDataApr[[#This Row],[Time]]&lt;0.75, AllDataApr[[#This Row],[Time]]&gt;=0.5)=TRUE, "Afternoon", IF(AND(AllDataApr[[#This Row],[Time]]&lt;1, AllDataApr[[#This Row],[Time]]&gt;=0.75)=TRUE, "Evening", "Night")))</f>
        <v>Morning</v>
      </c>
      <c r="G175" t="s">
        <v>46</v>
      </c>
      <c r="H175" t="str">
        <f>_xlfn.XLOOKUP(AllDataApr[[#This Row],[Location Name]], Locations[Row Labels],Locations[Group As])</f>
        <v>Swilgate</v>
      </c>
      <c r="I175" t="str">
        <f>_xlfn.XLOOKUP(AllDataApr[[#This Row],[Site Name]],LocationsKey[Site Name],LocationsKey[Region])</f>
        <v>Tewkesbury</v>
      </c>
      <c r="J175" t="str">
        <f>_xlfn.XLOOKUP(AllDataApr[[#This Row],[Site Name]],LocationsKey[Site Name], LocationsKey[Waterway])</f>
        <v>Swilgate</v>
      </c>
      <c r="K175" t="s">
        <v>47</v>
      </c>
      <c r="N175" t="s">
        <v>200</v>
      </c>
      <c r="O175">
        <v>836</v>
      </c>
      <c r="P175">
        <v>12</v>
      </c>
      <c r="Q175">
        <v>4</v>
      </c>
      <c r="R175" s="7" t="str">
        <f>IF(AllDataApr[[#This Row],[Nitrate (PPM)]]&gt;2, "Very high", IF(AllDataApr[[#This Row],[Nitrate (PPM)]]&gt;1, "High", IF(AllDataApr[[#This Row],[Nitrate (PPM)]]&gt;0.5, "Some evidence", IF(AllDataApr[[#This Row],[Nitrate (PPM)]]&gt;0, "No evidence", IF(AllDataApr[[#This Row],[Nitrate (PPM)]]=0, "")))))</f>
        <v>Very high</v>
      </c>
      <c r="S175">
        <v>0.42</v>
      </c>
      <c r="T175" s="7" t="str">
        <f>IF(AllDataApr[[#This Row],[Phosphate (PPM)]]&gt;0.5, "Very high", IF(AllDataApr[[#This Row],[Phosphate (PPM)]]&gt;0.1, "High", IF(AllDataApr[[#This Row],[Phosphate (PPM)]]&gt;0.05, "Some evidence", IF(AllDataApr[[#This Row],[Phosphate (PPM)]]=0, ""))))</f>
        <v>High</v>
      </c>
      <c r="U175">
        <v>1</v>
      </c>
    </row>
    <row r="176" spans="1:22" x14ac:dyDescent="0.3">
      <c r="A176" t="s">
        <v>745</v>
      </c>
      <c r="B176" s="2">
        <v>45239</v>
      </c>
      <c r="C176" s="2" t="str" cm="1">
        <f t="array" ref="C17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76">
        <f>YEAR(AllDataApr[[#This Row],[Date]])</f>
        <v>2023</v>
      </c>
      <c r="E176" s="1">
        <v>0.57291666666666663</v>
      </c>
      <c r="F176" s="2" t="str">
        <f>IF(AND(AllDataApr[[#This Row],[Time]]&lt;0.5, AllDataApr[[#This Row],[Time]]&gt;0.17)=TRUE, "Morning", IF(AND(AllDataApr[[#This Row],[Time]]&lt;0.75, AllDataApr[[#This Row],[Time]]&gt;=0.5)=TRUE, "Afternoon", IF(AND(AllDataApr[[#This Row],[Time]]&lt;1, AllDataApr[[#This Row],[Time]]&gt;=0.75)=TRUE, "Evening", "Night")))</f>
        <v>Afternoon</v>
      </c>
      <c r="G176" t="s">
        <v>59</v>
      </c>
      <c r="H176" t="str">
        <f>_xlfn.XLOOKUP(AllDataApr[[#This Row],[Location Name]], Locations[Row Labels],Locations[Group As])</f>
        <v>Preston-on-Stour River Bridge</v>
      </c>
      <c r="I176" t="str">
        <f>_xlfn.XLOOKUP(AllDataApr[[#This Row],[Site Name]],LocationsKey[Site Name],LocationsKey[Region])</f>
        <v>Stratford</v>
      </c>
      <c r="J176" t="str">
        <f>_xlfn.XLOOKUP(AllDataApr[[#This Row],[Site Name]],LocationsKey[Site Name], LocationsKey[Waterway])</f>
        <v>Stour</v>
      </c>
      <c r="K176" t="s">
        <v>78</v>
      </c>
      <c r="L176">
        <v>52.146470999999998</v>
      </c>
      <c r="M176">
        <v>-1.6997869999999999</v>
      </c>
      <c r="N176" t="s">
        <v>18</v>
      </c>
      <c r="O176">
        <v>612</v>
      </c>
      <c r="P176">
        <v>10.3</v>
      </c>
      <c r="Q176">
        <v>5</v>
      </c>
      <c r="R176" s="7" t="str">
        <f>IF(AllDataApr[[#This Row],[Nitrate (PPM)]]&gt;2, "Very high", IF(AllDataApr[[#This Row],[Nitrate (PPM)]]&gt;1, "High", IF(AllDataApr[[#This Row],[Nitrate (PPM)]]&gt;0.5, "Some evidence", IF(AllDataApr[[#This Row],[Nitrate (PPM)]]&gt;0, "No evidence", IF(AllDataApr[[#This Row],[Nitrate (PPM)]]=0, "")))))</f>
        <v>Very high</v>
      </c>
      <c r="S176">
        <v>0.25</v>
      </c>
      <c r="T176" s="7" t="str">
        <f>IF(AllDataApr[[#This Row],[Phosphate (PPM)]]&gt;0.5, "Very high", IF(AllDataApr[[#This Row],[Phosphate (PPM)]]&gt;0.1, "High", IF(AllDataApr[[#This Row],[Phosphate (PPM)]]&gt;0.05, "Some evidence", IF(AllDataApr[[#This Row],[Phosphate (PPM)]]=0, ""))))</f>
        <v>High</v>
      </c>
      <c r="U176">
        <v>1.75</v>
      </c>
      <c r="V176" t="s">
        <v>145</v>
      </c>
    </row>
    <row r="177" spans="1:22" x14ac:dyDescent="0.3">
      <c r="A177" s="11" t="s">
        <v>744</v>
      </c>
      <c r="B177" s="2">
        <v>45239</v>
      </c>
      <c r="C177" s="2" t="str" cm="1">
        <f t="array" ref="C17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77">
        <f>YEAR(AllDataApr[[#This Row],[Date]])</f>
        <v>2023</v>
      </c>
      <c r="E177" s="1">
        <v>0.66805555555555551</v>
      </c>
      <c r="F177" s="2" t="str">
        <f>IF(AND(AllDataApr[[#This Row],[Time]]&lt;0.5, AllDataApr[[#This Row],[Time]]&gt;0.17)=TRUE, "Morning", IF(AND(AllDataApr[[#This Row],[Time]]&lt;0.75, AllDataApr[[#This Row],[Time]]&gt;=0.5)=TRUE, "Afternoon", IF(AND(AllDataApr[[#This Row],[Time]]&lt;1, AllDataApr[[#This Row],[Time]]&gt;=0.75)=TRUE, "Evening", "Night")))</f>
        <v>Afternoon</v>
      </c>
      <c r="G177" t="s">
        <v>55</v>
      </c>
      <c r="H177" t="str">
        <f>_xlfn.XLOOKUP(AllDataApr[[#This Row],[Location Name]], Locations[Row Labels],Locations[Group As])</f>
        <v>Stour Shipston Mill Bridge</v>
      </c>
      <c r="I177" t="str">
        <f>_xlfn.XLOOKUP(AllDataApr[[#This Row],[Site Name]],LocationsKey[Site Name],LocationsKey[Region])</f>
        <v>Shipston</v>
      </c>
      <c r="J177" t="str">
        <f>_xlfn.XLOOKUP(AllDataApr[[#This Row],[Site Name]],LocationsKey[Site Name], LocationsKey[Waterway])</f>
        <v>Stour</v>
      </c>
      <c r="K177" t="s">
        <v>144</v>
      </c>
      <c r="L177">
        <v>52.062030999999998</v>
      </c>
      <c r="M177">
        <v>-1.6221080000000001</v>
      </c>
      <c r="N177" t="s">
        <v>200</v>
      </c>
      <c r="O177">
        <v>585</v>
      </c>
      <c r="P177">
        <v>10.199999999999999</v>
      </c>
      <c r="Q177">
        <v>10</v>
      </c>
      <c r="R177" s="7" t="str">
        <f>IF(AllDataApr[[#This Row],[Nitrate (PPM)]]&gt;2, "Very high", IF(AllDataApr[[#This Row],[Nitrate (PPM)]]&gt;1, "High", IF(AllDataApr[[#This Row],[Nitrate (PPM)]]&gt;0.5, "Some evidence", IF(AllDataApr[[#This Row],[Nitrate (PPM)]]&gt;0, "No evidence", IF(AllDataApr[[#This Row],[Nitrate (PPM)]]=0, "")))))</f>
        <v>Very high</v>
      </c>
      <c r="S177">
        <v>0.3</v>
      </c>
      <c r="T177" s="7" t="str">
        <f>IF(AllDataApr[[#This Row],[Phosphate (PPM)]]&gt;0.5, "Very high", IF(AllDataApr[[#This Row],[Phosphate (PPM)]]&gt;0.1, "High", IF(AllDataApr[[#This Row],[Phosphate (PPM)]]&gt;0.05, "Some evidence", IF(AllDataApr[[#This Row],[Phosphate (PPM)]]=0, ""))))</f>
        <v>High</v>
      </c>
      <c r="U177">
        <v>1.5</v>
      </c>
      <c r="V177" t="s">
        <v>83</v>
      </c>
    </row>
    <row r="178" spans="1:22" x14ac:dyDescent="0.3">
      <c r="A178" t="s">
        <v>743</v>
      </c>
      <c r="B178" s="2">
        <v>45239</v>
      </c>
      <c r="C178" s="2" t="str" cm="1">
        <f t="array" ref="C17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78">
        <f>YEAR(AllDataApr[[#This Row],[Date]])</f>
        <v>2023</v>
      </c>
      <c r="E178" s="1">
        <v>0.71250000000000002</v>
      </c>
      <c r="F178" s="2" t="str">
        <f>IF(AND(AllDataApr[[#This Row],[Time]]&lt;0.5, AllDataApr[[#This Row],[Time]]&gt;0.17)=TRUE, "Morning", IF(AND(AllDataApr[[#This Row],[Time]]&lt;0.75, AllDataApr[[#This Row],[Time]]&gt;=0.5)=TRUE, "Afternoon", IF(AND(AllDataApr[[#This Row],[Time]]&lt;1, AllDataApr[[#This Row],[Time]]&gt;=0.75)=TRUE, "Evening", "Night")))</f>
        <v>Afternoon</v>
      </c>
      <c r="G178" t="s">
        <v>55</v>
      </c>
      <c r="H178" t="str">
        <f>_xlfn.XLOOKUP(AllDataApr[[#This Row],[Location Name]], Locations[Row Labels],Locations[Group As])</f>
        <v>Stour Cherington Sewage Works</v>
      </c>
      <c r="I178" t="str">
        <f>_xlfn.XLOOKUP(AllDataApr[[#This Row],[Site Name]],LocationsKey[Site Name],LocationsKey[Region])</f>
        <v>Shipston</v>
      </c>
      <c r="J178" t="str">
        <f>_xlfn.XLOOKUP(AllDataApr[[#This Row],[Site Name]],LocationsKey[Site Name], LocationsKey[Waterway])</f>
        <v>Stour</v>
      </c>
      <c r="K178" t="s">
        <v>143</v>
      </c>
      <c r="L178">
        <v>52.030172999999998</v>
      </c>
      <c r="M178">
        <v>-1.5791440000000001</v>
      </c>
      <c r="N178" t="s">
        <v>200</v>
      </c>
      <c r="O178">
        <v>295</v>
      </c>
      <c r="P178">
        <v>10.7</v>
      </c>
      <c r="R178" s="7" t="str">
        <f>IF(AllDataApr[[#This Row],[Nitrate (PPM)]]&gt;2, "Very high", IF(AllDataApr[[#This Row],[Nitrate (PPM)]]&gt;1, "High", IF(AllDataApr[[#This Row],[Nitrate (PPM)]]&gt;0.5, "Some evidence", IF(AllDataApr[[#This Row],[Nitrate (PPM)]]&gt;0, "No evidence", IF(AllDataApr[[#This Row],[Nitrate (PPM)]]=0, "")))))</f>
        <v/>
      </c>
      <c r="S178">
        <v>0.18</v>
      </c>
      <c r="T178" s="7" t="str">
        <f>IF(AllDataApr[[#This Row],[Phosphate (PPM)]]&gt;0.5, "Very high", IF(AllDataApr[[#This Row],[Phosphate (PPM)]]&gt;0.1, "High", IF(AllDataApr[[#This Row],[Phosphate (PPM)]]&gt;0.05, "Some evidence", IF(AllDataApr[[#This Row],[Phosphate (PPM)]]=0, ""))))</f>
        <v>High</v>
      </c>
      <c r="U178">
        <v>0.5</v>
      </c>
      <c r="V178" t="s">
        <v>83</v>
      </c>
    </row>
    <row r="179" spans="1:22" x14ac:dyDescent="0.3">
      <c r="A179" t="s">
        <v>731</v>
      </c>
      <c r="B179" s="2">
        <v>45241</v>
      </c>
      <c r="C179" s="2" t="str" cm="1">
        <f t="array" ref="C17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79">
        <f>YEAR(AllDataApr[[#This Row],[Date]])</f>
        <v>2023</v>
      </c>
      <c r="E179" s="1">
        <v>0.4201388888888889</v>
      </c>
      <c r="F179" s="2" t="str">
        <f>IF(AND(AllDataApr[[#This Row],[Time]]&lt;0.5, AllDataApr[[#This Row],[Time]]&gt;0.17)=TRUE, "Morning", IF(AND(AllDataApr[[#This Row],[Time]]&lt;0.75, AllDataApr[[#This Row],[Time]]&gt;=0.5)=TRUE, "Afternoon", IF(AND(AllDataApr[[#This Row],[Time]]&lt;1, AllDataApr[[#This Row],[Time]]&gt;=0.75)=TRUE, "Evening", "Night")))</f>
        <v>Morning</v>
      </c>
      <c r="G179" t="s">
        <v>11</v>
      </c>
      <c r="H179" t="str">
        <f>_xlfn.XLOOKUP(AllDataApr[[#This Row],[Location Name]], Locations[Row Labels],Locations[Group As])</f>
        <v>Abbey Mill</v>
      </c>
      <c r="I179" t="str">
        <f>_xlfn.XLOOKUP(AllDataApr[[#This Row],[Site Name]],LocationsKey[Site Name],LocationsKey[Region])</f>
        <v>Tewkesbury</v>
      </c>
      <c r="J179" t="str">
        <f>_xlfn.XLOOKUP(AllDataApr[[#This Row],[Site Name]],LocationsKey[Site Name], LocationsKey[Waterway])</f>
        <v>Avon</v>
      </c>
      <c r="K179" t="s">
        <v>12</v>
      </c>
      <c r="N179" t="s">
        <v>200</v>
      </c>
      <c r="O179">
        <v>718</v>
      </c>
      <c r="P179">
        <v>10.6</v>
      </c>
      <c r="Q179">
        <v>7</v>
      </c>
      <c r="R179" s="7" t="str">
        <f>IF(AllDataApr[[#This Row],[Nitrate (PPM)]]&gt;2, "Very high", IF(AllDataApr[[#This Row],[Nitrate (PPM)]]&gt;1, "High", IF(AllDataApr[[#This Row],[Nitrate (PPM)]]&gt;0.5, "Some evidence", IF(AllDataApr[[#This Row],[Nitrate (PPM)]]&gt;0, "No evidence", IF(AllDataApr[[#This Row],[Nitrate (PPM)]]=0, "")))))</f>
        <v>Very high</v>
      </c>
      <c r="S179">
        <v>0.59</v>
      </c>
      <c r="T179" s="7" t="str">
        <f>IF(AllDataApr[[#This Row],[Phosphate (PPM)]]&gt;0.5, "Very high", IF(AllDataApr[[#This Row],[Phosphate (PPM)]]&gt;0.1, "High", IF(AllDataApr[[#This Row],[Phosphate (PPM)]]&gt;0.05, "Some evidence", IF(AllDataApr[[#This Row],[Phosphate (PPM)]]=0, ""))))</f>
        <v>Very high</v>
      </c>
      <c r="U179">
        <v>1</v>
      </c>
    </row>
    <row r="180" spans="1:22" x14ac:dyDescent="0.3">
      <c r="A180" t="s">
        <v>730</v>
      </c>
      <c r="B180" s="2">
        <v>45242</v>
      </c>
      <c r="C180" s="2" t="str" cm="1">
        <f t="array" ref="C18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80">
        <f>YEAR(AllDataApr[[#This Row],[Date]])</f>
        <v>2023</v>
      </c>
      <c r="E180" s="1">
        <v>0.4465277777777778</v>
      </c>
      <c r="F180" s="2" t="str">
        <f>IF(AND(AllDataApr[[#This Row],[Time]]&lt;0.5, AllDataApr[[#This Row],[Time]]&gt;0.17)=TRUE, "Morning", IF(AND(AllDataApr[[#This Row],[Time]]&lt;0.75, AllDataApr[[#This Row],[Time]]&gt;=0.5)=TRUE, "Afternoon", IF(AND(AllDataApr[[#This Row],[Time]]&lt;1, AllDataApr[[#This Row],[Time]]&gt;=0.75)=TRUE, "Evening", "Night")))</f>
        <v>Morning</v>
      </c>
      <c r="G180" t="s">
        <v>38</v>
      </c>
      <c r="H180" t="str">
        <f>_xlfn.XLOOKUP(AllDataApr[[#This Row],[Location Name]], Locations[Row Labels],Locations[Group As])</f>
        <v>Pitch 16</v>
      </c>
      <c r="I180" t="str">
        <f>_xlfn.XLOOKUP(AllDataApr[[#This Row],[Site Name]],LocationsKey[Site Name],LocationsKey[Region])</f>
        <v>Stratford</v>
      </c>
      <c r="J180" t="str">
        <f>_xlfn.XLOOKUP(AllDataApr[[#This Row],[Site Name]],LocationsKey[Site Name], LocationsKey[Waterway])</f>
        <v>Avon</v>
      </c>
      <c r="K180" t="s">
        <v>39</v>
      </c>
      <c r="L180">
        <v>52.172566000000003</v>
      </c>
      <c r="M180">
        <v>-1.745363</v>
      </c>
      <c r="N180" t="s">
        <v>18</v>
      </c>
      <c r="O180">
        <v>816</v>
      </c>
      <c r="P180">
        <v>10.199999999999999</v>
      </c>
      <c r="Q180">
        <v>5</v>
      </c>
      <c r="R180" s="7" t="str">
        <f>IF(AllDataApr[[#This Row],[Nitrate (PPM)]]&gt;2, "Very high", IF(AllDataApr[[#This Row],[Nitrate (PPM)]]&gt;1, "High", IF(AllDataApr[[#This Row],[Nitrate (PPM)]]&gt;0.5, "Some evidence", IF(AllDataApr[[#This Row],[Nitrate (PPM)]]&gt;0, "No evidence", IF(AllDataApr[[#This Row],[Nitrate (PPM)]]=0, "")))))</f>
        <v>Very high</v>
      </c>
      <c r="S180">
        <v>0.51</v>
      </c>
      <c r="T180" s="7" t="str">
        <f>IF(AllDataApr[[#This Row],[Phosphate (PPM)]]&gt;0.5, "Very high", IF(AllDataApr[[#This Row],[Phosphate (PPM)]]&gt;0.1, "High", IF(AllDataApr[[#This Row],[Phosphate (PPM)]]&gt;0.05, "Some evidence", IF(AllDataApr[[#This Row],[Phosphate (PPM)]]=0, ""))))</f>
        <v>Very high</v>
      </c>
      <c r="U180">
        <v>0.75</v>
      </c>
    </row>
    <row r="181" spans="1:22" x14ac:dyDescent="0.3">
      <c r="A181" t="s">
        <v>729</v>
      </c>
      <c r="B181" s="2">
        <v>45242</v>
      </c>
      <c r="C181" s="2" t="str" cm="1">
        <f t="array" ref="C18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81">
        <f>YEAR(AllDataApr[[#This Row],[Date]])</f>
        <v>2023</v>
      </c>
      <c r="E181" s="1">
        <v>0.46527777777777779</v>
      </c>
      <c r="F181" s="2" t="str">
        <f>IF(AND(AllDataApr[[#This Row],[Time]]&lt;0.5, AllDataApr[[#This Row],[Time]]&gt;0.17)=TRUE, "Morning", IF(AND(AllDataApr[[#This Row],[Time]]&lt;0.75, AllDataApr[[#This Row],[Time]]&gt;=0.5)=TRUE, "Afternoon", IF(AND(AllDataApr[[#This Row],[Time]]&lt;1, AllDataApr[[#This Row],[Time]]&gt;=0.75)=TRUE, "Evening", "Night")))</f>
        <v>Morning</v>
      </c>
      <c r="G181" t="s">
        <v>38</v>
      </c>
      <c r="H181" t="str">
        <f>_xlfn.XLOOKUP(AllDataApr[[#This Row],[Location Name]], Locations[Row Labels],Locations[Group As])</f>
        <v>Avonbank Drive</v>
      </c>
      <c r="I181" t="str">
        <f>_xlfn.XLOOKUP(AllDataApr[[#This Row],[Site Name]],LocationsKey[Site Name],LocationsKey[Region])</f>
        <v>Stratford</v>
      </c>
      <c r="J181" t="str">
        <f>_xlfn.XLOOKUP(AllDataApr[[#This Row],[Site Name]],LocationsKey[Site Name], LocationsKey[Waterway])</f>
        <v>Avon</v>
      </c>
      <c r="K181" t="s">
        <v>147</v>
      </c>
      <c r="L181">
        <v>52.177214999999997</v>
      </c>
      <c r="M181">
        <v>-1.7357640000000001</v>
      </c>
      <c r="N181" t="s">
        <v>42</v>
      </c>
      <c r="O181">
        <v>855</v>
      </c>
      <c r="P181">
        <v>9.3000000000000007</v>
      </c>
      <c r="Q181">
        <v>5</v>
      </c>
      <c r="R181" s="7" t="str">
        <f>IF(AllDataApr[[#This Row],[Nitrate (PPM)]]&gt;2, "Very high", IF(AllDataApr[[#This Row],[Nitrate (PPM)]]&gt;1, "High", IF(AllDataApr[[#This Row],[Nitrate (PPM)]]&gt;0.5, "Some evidence", IF(AllDataApr[[#This Row],[Nitrate (PPM)]]&gt;0, "No evidence", IF(AllDataApr[[#This Row],[Nitrate (PPM)]]=0, "")))))</f>
        <v>Very high</v>
      </c>
      <c r="S181">
        <v>0.61</v>
      </c>
      <c r="T181" s="7" t="str">
        <f>IF(AllDataApr[[#This Row],[Phosphate (PPM)]]&gt;0.5, "Very high", IF(AllDataApr[[#This Row],[Phosphate (PPM)]]&gt;0.1, "High", IF(AllDataApr[[#This Row],[Phosphate (PPM)]]&gt;0.05, "Some evidence", IF(AllDataApr[[#This Row],[Phosphate (PPM)]]=0, ""))))</f>
        <v>Very high</v>
      </c>
      <c r="U181">
        <v>0.75</v>
      </c>
    </row>
    <row r="182" spans="1:22" x14ac:dyDescent="0.3">
      <c r="A182" t="s">
        <v>727</v>
      </c>
      <c r="B182" s="2">
        <v>45242</v>
      </c>
      <c r="C182" s="2" t="str" cm="1">
        <f t="array" ref="C18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82">
        <f>YEAR(AllDataApr[[#This Row],[Date]])</f>
        <v>2023</v>
      </c>
      <c r="E182" s="1">
        <v>0.47916666666666669</v>
      </c>
      <c r="F182" s="2" t="str">
        <f>IF(AND(AllDataApr[[#This Row],[Time]]&lt;0.5, AllDataApr[[#This Row],[Time]]&gt;0.17)=TRUE, "Morning", IF(AND(AllDataApr[[#This Row],[Time]]&lt;0.75, AllDataApr[[#This Row],[Time]]&gt;=0.5)=TRUE, "Afternoon", IF(AND(AllDataApr[[#This Row],[Time]]&lt;1, AllDataApr[[#This Row],[Time]]&gt;=0.75)=TRUE, "Evening", "Night")))</f>
        <v>Morning</v>
      </c>
      <c r="G182" t="s">
        <v>20</v>
      </c>
      <c r="H182" t="str">
        <f>_xlfn.XLOOKUP(AllDataApr[[#This Row],[Location Name]], Locations[Row Labels],Locations[Group As])</f>
        <v>Hampton Wood</v>
      </c>
      <c r="I182" t="str">
        <f>_xlfn.XLOOKUP(AllDataApr[[#This Row],[Site Name]],LocationsKey[Site Name],LocationsKey[Region])</f>
        <v>Stratford</v>
      </c>
      <c r="J182" t="str">
        <f>_xlfn.XLOOKUP(AllDataApr[[#This Row],[Site Name]],LocationsKey[Site Name], LocationsKey[Waterway])</f>
        <v>Avon</v>
      </c>
      <c r="K182" t="s">
        <v>25</v>
      </c>
      <c r="L182">
        <v>52.238149999999997</v>
      </c>
      <c r="M182">
        <v>-1.6245799999999999</v>
      </c>
      <c r="N182" t="s">
        <v>18</v>
      </c>
      <c r="O182">
        <v>822</v>
      </c>
      <c r="P182">
        <v>9</v>
      </c>
      <c r="Q182">
        <v>7</v>
      </c>
      <c r="R182" s="7" t="str">
        <f>IF(AllDataApr[[#This Row],[Nitrate (PPM)]]&gt;2, "Very high", IF(AllDataApr[[#This Row],[Nitrate (PPM)]]&gt;1, "High", IF(AllDataApr[[#This Row],[Nitrate (PPM)]]&gt;0.5, "Some evidence", IF(AllDataApr[[#This Row],[Nitrate (PPM)]]&gt;0, "No evidence", IF(AllDataApr[[#This Row],[Nitrate (PPM)]]=0, "")))))</f>
        <v>Very high</v>
      </c>
      <c r="S182">
        <v>0.53</v>
      </c>
      <c r="T182" s="7" t="str">
        <f>IF(AllDataApr[[#This Row],[Phosphate (PPM)]]&gt;0.5, "Very high", IF(AllDataApr[[#This Row],[Phosphate (PPM)]]&gt;0.1, "High", IF(AllDataApr[[#This Row],[Phosphate (PPM)]]&gt;0.05, "Some evidence", IF(AllDataApr[[#This Row],[Phosphate (PPM)]]=0, ""))))</f>
        <v>Very high</v>
      </c>
      <c r="U182">
        <v>0</v>
      </c>
    </row>
    <row r="183" spans="1:22" x14ac:dyDescent="0.3">
      <c r="A183" t="s">
        <v>726</v>
      </c>
      <c r="B183" s="2">
        <v>45242</v>
      </c>
      <c r="C183" s="2" t="str" cm="1">
        <f t="array" ref="C18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83">
        <f>YEAR(AllDataApr[[#This Row],[Date]])</f>
        <v>2023</v>
      </c>
      <c r="E183" s="1">
        <v>0.51041666666666663</v>
      </c>
      <c r="F183" s="2" t="str">
        <f>IF(AND(AllDataApr[[#This Row],[Time]]&lt;0.5, AllDataApr[[#This Row],[Time]]&gt;0.17)=TRUE, "Morning", IF(AND(AllDataApr[[#This Row],[Time]]&lt;0.75, AllDataApr[[#This Row],[Time]]&gt;=0.5)=TRUE, "Afternoon", IF(AND(AllDataApr[[#This Row],[Time]]&lt;1, AllDataApr[[#This Row],[Time]]&gt;=0.75)=TRUE, "Evening", "Night")))</f>
        <v>Afternoon</v>
      </c>
      <c r="G183" t="s">
        <v>95</v>
      </c>
      <c r="H183" t="str">
        <f>_xlfn.XLOOKUP(AllDataApr[[#This Row],[Location Name]], Locations[Row Labels],Locations[Group As])</f>
        <v>Hampton Lucy</v>
      </c>
      <c r="I183" t="str">
        <f>_xlfn.XLOOKUP(AllDataApr[[#This Row],[Site Name]],LocationsKey[Site Name],LocationsKey[Region])</f>
        <v>Stratford</v>
      </c>
      <c r="J183" t="str">
        <f>_xlfn.XLOOKUP(AllDataApr[[#This Row],[Site Name]],LocationsKey[Site Name], LocationsKey[Waterway])</f>
        <v>Avon</v>
      </c>
      <c r="K183" t="s">
        <v>27</v>
      </c>
      <c r="L183">
        <v>52.211680000000001</v>
      </c>
      <c r="M183">
        <v>-1.6244400000000001</v>
      </c>
      <c r="N183" t="s">
        <v>200</v>
      </c>
      <c r="O183">
        <v>812</v>
      </c>
      <c r="P183">
        <v>9.4</v>
      </c>
      <c r="Q183">
        <v>5</v>
      </c>
      <c r="R183" s="7" t="str">
        <f>IF(AllDataApr[[#This Row],[Nitrate (PPM)]]&gt;2, "Very high", IF(AllDataApr[[#This Row],[Nitrate (PPM)]]&gt;1, "High", IF(AllDataApr[[#This Row],[Nitrate (PPM)]]&gt;0.5, "Some evidence", IF(AllDataApr[[#This Row],[Nitrate (PPM)]]&gt;0, "No evidence", IF(AllDataApr[[#This Row],[Nitrate (PPM)]]=0, "")))))</f>
        <v>Very high</v>
      </c>
      <c r="S183">
        <v>0.9</v>
      </c>
      <c r="T183" s="7" t="str">
        <f>IF(AllDataApr[[#This Row],[Phosphate (PPM)]]&gt;0.5, "Very high", IF(AllDataApr[[#This Row],[Phosphate (PPM)]]&gt;0.1, "High", IF(AllDataApr[[#This Row],[Phosphate (PPM)]]&gt;0.05, "Some evidence", IF(AllDataApr[[#This Row],[Phosphate (PPM)]]=0, ""))))</f>
        <v>Very high</v>
      </c>
      <c r="U183">
        <v>0</v>
      </c>
    </row>
    <row r="184" spans="1:22" x14ac:dyDescent="0.3">
      <c r="A184" t="s">
        <v>725</v>
      </c>
      <c r="B184" s="2">
        <v>45242</v>
      </c>
      <c r="C184" s="2" t="str" cm="1">
        <f t="array" ref="C18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84">
        <f>YEAR(AllDataApr[[#This Row],[Date]])</f>
        <v>2023</v>
      </c>
      <c r="E184" s="1">
        <v>0.66666666666666663</v>
      </c>
      <c r="F184" s="2" t="str">
        <f>IF(AND(AllDataApr[[#This Row],[Time]]&lt;0.5, AllDataApr[[#This Row],[Time]]&gt;0.17)=TRUE, "Morning", IF(AND(AllDataApr[[#This Row],[Time]]&lt;0.75, AllDataApr[[#This Row],[Time]]&gt;=0.5)=TRUE, "Afternoon", IF(AND(AllDataApr[[#This Row],[Time]]&lt;1, AllDataApr[[#This Row],[Time]]&gt;=0.75)=TRUE, "Evening", "Night")))</f>
        <v>Afternoon</v>
      </c>
      <c r="G184" t="s">
        <v>35</v>
      </c>
      <c r="H184" t="str">
        <f>_xlfn.XLOOKUP(AllDataApr[[#This Row],[Location Name]], Locations[Row Labels],Locations[Group As])</f>
        <v>Welford Boat Station</v>
      </c>
      <c r="I184" t="str">
        <f>_xlfn.XLOOKUP(AllDataApr[[#This Row],[Site Name]],LocationsKey[Site Name],LocationsKey[Region])</f>
        <v>Stratford</v>
      </c>
      <c r="J184" t="str">
        <f>_xlfn.XLOOKUP(AllDataApr[[#This Row],[Site Name]],LocationsKey[Site Name], LocationsKey[Waterway])</f>
        <v>Avon</v>
      </c>
      <c r="K184" t="s">
        <v>22</v>
      </c>
      <c r="L184">
        <v>52.175240000000002</v>
      </c>
      <c r="M184">
        <v>-1.7918700000000001</v>
      </c>
      <c r="N184" t="s">
        <v>18</v>
      </c>
      <c r="O184">
        <v>808</v>
      </c>
      <c r="P184">
        <v>9.1999999999999993</v>
      </c>
      <c r="Q184">
        <v>8</v>
      </c>
      <c r="R184" s="7" t="str">
        <f>IF(AllDataApr[[#This Row],[Nitrate (PPM)]]&gt;2, "Very high", IF(AllDataApr[[#This Row],[Nitrate (PPM)]]&gt;1, "High", IF(AllDataApr[[#This Row],[Nitrate (PPM)]]&gt;0.5, "Some evidence", IF(AllDataApr[[#This Row],[Nitrate (PPM)]]&gt;0, "No evidence", IF(AllDataApr[[#This Row],[Nitrate (PPM)]]=0, "")))))</f>
        <v>Very high</v>
      </c>
      <c r="S184">
        <v>0.48</v>
      </c>
      <c r="T184" s="7" t="str">
        <f>IF(AllDataApr[[#This Row],[Phosphate (PPM)]]&gt;0.5, "Very high", IF(AllDataApr[[#This Row],[Phosphate (PPM)]]&gt;0.1, "High", IF(AllDataApr[[#This Row],[Phosphate (PPM)]]&gt;0.05, "Some evidence", IF(AllDataApr[[#This Row],[Phosphate (PPM)]]=0, ""))))</f>
        <v>High</v>
      </c>
      <c r="U184">
        <v>0</v>
      </c>
      <c r="V184" t="s">
        <v>146</v>
      </c>
    </row>
    <row r="185" spans="1:22" x14ac:dyDescent="0.3">
      <c r="A185" t="s">
        <v>723</v>
      </c>
      <c r="B185" s="2">
        <v>45243</v>
      </c>
      <c r="C185" s="2" t="str" cm="1">
        <f t="array" ref="C18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85">
        <f>YEAR(AllDataApr[[#This Row],[Date]])</f>
        <v>2023</v>
      </c>
      <c r="E185" s="1">
        <v>0.53125</v>
      </c>
      <c r="F185" s="2" t="str">
        <f>IF(AND(AllDataApr[[#This Row],[Time]]&lt;0.5, AllDataApr[[#This Row],[Time]]&gt;0.17)=TRUE, "Morning", IF(AND(AllDataApr[[#This Row],[Time]]&lt;0.75, AllDataApr[[#This Row],[Time]]&gt;=0.5)=TRUE, "Afternoon", IF(AND(AllDataApr[[#This Row],[Time]]&lt;1, AllDataApr[[#This Row],[Time]]&gt;=0.75)=TRUE, "Evening", "Night")))</f>
        <v>Afternoon</v>
      </c>
      <c r="G185" t="s">
        <v>112</v>
      </c>
      <c r="H185" t="str">
        <f>_xlfn.XLOOKUP(AllDataApr[[#This Row],[Location Name]], Locations[Row Labels],Locations[Group As])</f>
        <v>Clifford Chambers Mill Bridge</v>
      </c>
      <c r="I185" t="str">
        <f>_xlfn.XLOOKUP(AllDataApr[[#This Row],[Site Name]],LocationsKey[Site Name],LocationsKey[Region])</f>
        <v>Stratford</v>
      </c>
      <c r="J185" t="str">
        <f>_xlfn.XLOOKUP(AllDataApr[[#This Row],[Site Name]],LocationsKey[Site Name], LocationsKey[Waterway])</f>
        <v>Stour</v>
      </c>
      <c r="K185" t="s">
        <v>148</v>
      </c>
      <c r="L185">
        <v>52.166370000000001</v>
      </c>
      <c r="M185">
        <v>-1.7083200000000001</v>
      </c>
      <c r="N185" t="s">
        <v>1047</v>
      </c>
      <c r="O185">
        <v>164</v>
      </c>
      <c r="P185">
        <v>14.2</v>
      </c>
      <c r="Q185">
        <v>8</v>
      </c>
      <c r="R185" s="7" t="str">
        <f>IF(AllDataApr[[#This Row],[Nitrate (PPM)]]&gt;2, "Very high", IF(AllDataApr[[#This Row],[Nitrate (PPM)]]&gt;1, "High", IF(AllDataApr[[#This Row],[Nitrate (PPM)]]&gt;0.5, "Some evidence", IF(AllDataApr[[#This Row],[Nitrate (PPM)]]&gt;0, "No evidence", IF(AllDataApr[[#This Row],[Nitrate (PPM)]]=0, "")))))</f>
        <v>Very high</v>
      </c>
      <c r="S185">
        <v>0.36</v>
      </c>
      <c r="T185" s="7" t="str">
        <f>IF(AllDataApr[[#This Row],[Phosphate (PPM)]]&gt;0.5, "Very high", IF(AllDataApr[[#This Row],[Phosphate (PPM)]]&gt;0.1, "High", IF(AllDataApr[[#This Row],[Phosphate (PPM)]]&gt;0.05, "Some evidence", IF(AllDataApr[[#This Row],[Phosphate (PPM)]]=0, ""))))</f>
        <v>High</v>
      </c>
      <c r="U185">
        <v>1.6</v>
      </c>
      <c r="V185" t="s">
        <v>149</v>
      </c>
    </row>
    <row r="186" spans="1:22" x14ac:dyDescent="0.3">
      <c r="A186" t="s">
        <v>714</v>
      </c>
      <c r="B186" s="2">
        <v>45244</v>
      </c>
      <c r="C186" s="2" t="str" cm="1">
        <f t="array" ref="C18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86">
        <f>YEAR(AllDataApr[[#This Row],[Date]])</f>
        <v>2023</v>
      </c>
      <c r="E186" s="1">
        <v>0.40625</v>
      </c>
      <c r="F186" s="2" t="str">
        <f>IF(AND(AllDataApr[[#This Row],[Time]]&lt;0.5, AllDataApr[[#This Row],[Time]]&gt;0.17)=TRUE, "Morning", IF(AND(AllDataApr[[#This Row],[Time]]&lt;0.75, AllDataApr[[#This Row],[Time]]&gt;=0.5)=TRUE, "Afternoon", IF(AND(AllDataApr[[#This Row],[Time]]&lt;1, AllDataApr[[#This Row],[Time]]&gt;=0.75)=TRUE, "Evening", "Night")))</f>
        <v>Morning</v>
      </c>
      <c r="G186" t="s">
        <v>150</v>
      </c>
      <c r="H186" t="str">
        <f>_xlfn.XLOOKUP(AllDataApr[[#This Row],[Location Name]], Locations[Row Labels],Locations[Group As])</f>
        <v>Stour Stretton-on-Fosse Sewage Works</v>
      </c>
      <c r="I186" t="str">
        <f>_xlfn.XLOOKUP(AllDataApr[[#This Row],[Site Name]],LocationsKey[Site Name],LocationsKey[Region])</f>
        <v>Shipston</v>
      </c>
      <c r="J186" t="str">
        <f>_xlfn.XLOOKUP(AllDataApr[[#This Row],[Site Name]],LocationsKey[Site Name], LocationsKey[Waterway])</f>
        <v>Stour</v>
      </c>
      <c r="K186" t="s">
        <v>151</v>
      </c>
      <c r="L186">
        <v>52.045651999999997</v>
      </c>
      <c r="M186">
        <v>-1.6719360000000001</v>
      </c>
      <c r="N186" t="s">
        <v>18</v>
      </c>
      <c r="O186">
        <v>453</v>
      </c>
      <c r="P186">
        <v>10.3</v>
      </c>
      <c r="Q186">
        <v>5</v>
      </c>
      <c r="R186" s="7" t="str">
        <f>IF(AllDataApr[[#This Row],[Nitrate (PPM)]]&gt;2, "Very high", IF(AllDataApr[[#This Row],[Nitrate (PPM)]]&gt;1, "High", IF(AllDataApr[[#This Row],[Nitrate (PPM)]]&gt;0.5, "Some evidence", IF(AllDataApr[[#This Row],[Nitrate (PPM)]]&gt;0, "No evidence", IF(AllDataApr[[#This Row],[Nitrate (PPM)]]=0, "")))))</f>
        <v>Very high</v>
      </c>
      <c r="S186">
        <v>0.64</v>
      </c>
      <c r="T186" s="7" t="str">
        <f>IF(AllDataApr[[#This Row],[Phosphate (PPM)]]&gt;0.5, "Very high", IF(AllDataApr[[#This Row],[Phosphate (PPM)]]&gt;0.1, "High", IF(AllDataApr[[#This Row],[Phosphate (PPM)]]&gt;0.05, "Some evidence", IF(AllDataApr[[#This Row],[Phosphate (PPM)]]=0, ""))))</f>
        <v>Very high</v>
      </c>
      <c r="U186">
        <v>0.3</v>
      </c>
    </row>
    <row r="187" spans="1:22" x14ac:dyDescent="0.3">
      <c r="A187" t="s">
        <v>715</v>
      </c>
      <c r="B187" s="2">
        <v>45244</v>
      </c>
      <c r="C187" s="2" t="str" cm="1">
        <f t="array" ref="C18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87">
        <f>YEAR(AllDataApr[[#This Row],[Date]])</f>
        <v>2023</v>
      </c>
      <c r="E187" s="1">
        <v>0.42708333333333331</v>
      </c>
      <c r="F187" s="2" t="str">
        <f>IF(AND(AllDataApr[[#This Row],[Time]]&lt;0.5, AllDataApr[[#This Row],[Time]]&gt;0.17)=TRUE, "Morning", IF(AND(AllDataApr[[#This Row],[Time]]&lt;0.75, AllDataApr[[#This Row],[Time]]&gt;=0.5)=TRUE, "Afternoon", IF(AND(AllDataApr[[#This Row],[Time]]&lt;1, AllDataApr[[#This Row],[Time]]&gt;=0.75)=TRUE, "Evening", "Night")))</f>
        <v>Morning</v>
      </c>
      <c r="G187" t="s">
        <v>150</v>
      </c>
      <c r="H187" t="str">
        <f>_xlfn.XLOOKUP(AllDataApr[[#This Row],[Location Name]], Locations[Row Labels],Locations[Group As])</f>
        <v>Stour Stretton-on-Fosse Village</v>
      </c>
      <c r="I187" t="str">
        <f>_xlfn.XLOOKUP(AllDataApr[[#This Row],[Site Name]],LocationsKey[Site Name],LocationsKey[Region])</f>
        <v>Shipston</v>
      </c>
      <c r="J187" t="str">
        <f>_xlfn.XLOOKUP(AllDataApr[[#This Row],[Site Name]],LocationsKey[Site Name], LocationsKey[Waterway])</f>
        <v>Stour</v>
      </c>
      <c r="K187" t="s">
        <v>152</v>
      </c>
      <c r="L187">
        <v>52.046506999999998</v>
      </c>
      <c r="M187">
        <v>-1.6734880000000001</v>
      </c>
      <c r="N187" t="s">
        <v>42</v>
      </c>
      <c r="O187">
        <v>394</v>
      </c>
      <c r="P187">
        <v>10.5</v>
      </c>
      <c r="Q187">
        <v>5</v>
      </c>
      <c r="R187" s="7" t="str">
        <f>IF(AllDataApr[[#This Row],[Nitrate (PPM)]]&gt;2, "Very high", IF(AllDataApr[[#This Row],[Nitrate (PPM)]]&gt;1, "High", IF(AllDataApr[[#This Row],[Nitrate (PPM)]]&gt;0.5, "Some evidence", IF(AllDataApr[[#This Row],[Nitrate (PPM)]]&gt;0, "No evidence", IF(AllDataApr[[#This Row],[Nitrate (PPM)]]=0, "")))))</f>
        <v>Very high</v>
      </c>
      <c r="S187">
        <v>0.2</v>
      </c>
      <c r="T187" s="7" t="str">
        <f>IF(AllDataApr[[#This Row],[Phosphate (PPM)]]&gt;0.5, "Very high", IF(AllDataApr[[#This Row],[Phosphate (PPM)]]&gt;0.1, "High", IF(AllDataApr[[#This Row],[Phosphate (PPM)]]&gt;0.05, "Some evidence", IF(AllDataApr[[#This Row],[Phosphate (PPM)]]=0, ""))))</f>
        <v>High</v>
      </c>
      <c r="U187">
        <v>0.2</v>
      </c>
    </row>
    <row r="188" spans="1:22" x14ac:dyDescent="0.3">
      <c r="A188" t="s">
        <v>724</v>
      </c>
      <c r="B188" s="2">
        <v>45244</v>
      </c>
      <c r="C188" s="2" t="str" cm="1">
        <f t="array" ref="C18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88">
        <f>YEAR(AllDataApr[[#This Row],[Date]])</f>
        <v>2023</v>
      </c>
      <c r="E188" s="1">
        <v>0.47916666666666669</v>
      </c>
      <c r="F188" s="2" t="str">
        <f>IF(AND(AllDataApr[[#This Row],[Time]]&lt;0.5, AllDataApr[[#This Row],[Time]]&gt;0.17)=TRUE, "Morning", IF(AND(AllDataApr[[#This Row],[Time]]&lt;0.75, AllDataApr[[#This Row],[Time]]&gt;=0.5)=TRUE, "Afternoon", IF(AND(AllDataApr[[#This Row],[Time]]&lt;1, AllDataApr[[#This Row],[Time]]&gt;=0.75)=TRUE, "Evening", "Night")))</f>
        <v>Morning</v>
      </c>
      <c r="G188" t="s">
        <v>20</v>
      </c>
      <c r="H188" t="str">
        <f>_xlfn.XLOOKUP(AllDataApr[[#This Row],[Location Name]], Locations[Row Labels],Locations[Group As])</f>
        <v>Weston-on-Avon</v>
      </c>
      <c r="I188" t="str">
        <f>_xlfn.XLOOKUP(AllDataApr[[#This Row],[Site Name]],LocationsKey[Site Name],LocationsKey[Region])</f>
        <v>Stratford</v>
      </c>
      <c r="J188" t="str">
        <f>_xlfn.XLOOKUP(AllDataApr[[#This Row],[Site Name]],LocationsKey[Site Name], LocationsKey[Waterway])</f>
        <v>Avon</v>
      </c>
      <c r="K188" t="s">
        <v>23</v>
      </c>
      <c r="L188">
        <v>52.167430000000003</v>
      </c>
      <c r="M188">
        <v>-1.7744800000000001</v>
      </c>
      <c r="N188" t="s">
        <v>18</v>
      </c>
      <c r="O188">
        <v>640</v>
      </c>
      <c r="P188">
        <v>11.3</v>
      </c>
      <c r="Q188">
        <v>5</v>
      </c>
      <c r="R188" s="7" t="str">
        <f>IF(AllDataApr[[#This Row],[Nitrate (PPM)]]&gt;2, "Very high", IF(AllDataApr[[#This Row],[Nitrate (PPM)]]&gt;1, "High", IF(AllDataApr[[#This Row],[Nitrate (PPM)]]&gt;0.5, "Some evidence", IF(AllDataApr[[#This Row],[Nitrate (PPM)]]&gt;0, "No evidence", IF(AllDataApr[[#This Row],[Nitrate (PPM)]]=0, "")))))</f>
        <v>Very high</v>
      </c>
      <c r="S188">
        <v>0.41</v>
      </c>
      <c r="T188" s="7" t="str">
        <f>IF(AllDataApr[[#This Row],[Phosphate (PPM)]]&gt;0.5, "Very high", IF(AllDataApr[[#This Row],[Phosphate (PPM)]]&gt;0.1, "High", IF(AllDataApr[[#This Row],[Phosphate (PPM)]]&gt;0.05, "Some evidence", IF(AllDataApr[[#This Row],[Phosphate (PPM)]]=0, ""))))</f>
        <v>High</v>
      </c>
      <c r="U188">
        <v>0</v>
      </c>
    </row>
    <row r="189" spans="1:22" x14ac:dyDescent="0.3">
      <c r="A189" t="s">
        <v>713</v>
      </c>
      <c r="B189" s="2">
        <v>45245</v>
      </c>
      <c r="C189" s="2" t="str" cm="1">
        <f t="array" ref="C18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89">
        <f>YEAR(AllDataApr[[#This Row],[Date]])</f>
        <v>2023</v>
      </c>
      <c r="E189" s="1">
        <v>0.66666666666666663</v>
      </c>
      <c r="F189" s="2" t="str">
        <f>IF(AND(AllDataApr[[#This Row],[Time]]&lt;0.5, AllDataApr[[#This Row],[Time]]&gt;0.17)=TRUE, "Morning", IF(AND(AllDataApr[[#This Row],[Time]]&lt;0.75, AllDataApr[[#This Row],[Time]]&gt;=0.5)=TRUE, "Afternoon", IF(AND(AllDataApr[[#This Row],[Time]]&lt;1, AllDataApr[[#This Row],[Time]]&gt;=0.75)=TRUE, "Evening", "Night")))</f>
        <v>Afternoon</v>
      </c>
      <c r="G189" t="s">
        <v>57</v>
      </c>
      <c r="H189" t="str">
        <f>_xlfn.XLOOKUP(AllDataApr[[#This Row],[Location Name]], Locations[Row Labels],Locations[Group As])</f>
        <v>Stour Newbold Mill</v>
      </c>
      <c r="I189" t="str">
        <f>_xlfn.XLOOKUP(AllDataApr[[#This Row],[Site Name]],LocationsKey[Site Name],LocationsKey[Region])</f>
        <v>Shipston</v>
      </c>
      <c r="J189" t="str">
        <f>_xlfn.XLOOKUP(AllDataApr[[#This Row],[Site Name]],LocationsKey[Site Name], LocationsKey[Waterway])</f>
        <v>Stour</v>
      </c>
      <c r="K189" t="s">
        <v>66</v>
      </c>
      <c r="N189" t="s">
        <v>18</v>
      </c>
      <c r="O189">
        <v>667</v>
      </c>
      <c r="P189">
        <v>12.1</v>
      </c>
      <c r="Q189">
        <v>5</v>
      </c>
      <c r="R189" s="7" t="str">
        <f>IF(AllDataApr[[#This Row],[Nitrate (PPM)]]&gt;2, "Very high", IF(AllDataApr[[#This Row],[Nitrate (PPM)]]&gt;1, "High", IF(AllDataApr[[#This Row],[Nitrate (PPM)]]&gt;0.5, "Some evidence", IF(AllDataApr[[#This Row],[Nitrate (PPM)]]&gt;0, "No evidence", IF(AllDataApr[[#This Row],[Nitrate (PPM)]]=0, "")))))</f>
        <v>Very high</v>
      </c>
      <c r="S189">
        <v>0.24</v>
      </c>
      <c r="T189" s="7" t="str">
        <f>IF(AllDataApr[[#This Row],[Phosphate (PPM)]]&gt;0.5, "Very high", IF(AllDataApr[[#This Row],[Phosphate (PPM)]]&gt;0.1, "High", IF(AllDataApr[[#This Row],[Phosphate (PPM)]]&gt;0.05, "Some evidence", IF(AllDataApr[[#This Row],[Phosphate (PPM)]]=0, ""))))</f>
        <v>High</v>
      </c>
      <c r="U189">
        <v>2.5</v>
      </c>
      <c r="V189" t="s">
        <v>153</v>
      </c>
    </row>
    <row r="190" spans="1:22" x14ac:dyDescent="0.3">
      <c r="A190" t="s">
        <v>722</v>
      </c>
      <c r="B190" s="2">
        <v>45246</v>
      </c>
      <c r="C190" s="2" t="str" cm="1">
        <f t="array" ref="C19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90">
        <f>YEAR(AllDataApr[[#This Row],[Date]])</f>
        <v>2023</v>
      </c>
      <c r="E190" s="1">
        <v>0.37708333333333333</v>
      </c>
      <c r="F190" s="2" t="str">
        <f>IF(AND(AllDataApr[[#This Row],[Time]]&lt;0.5, AllDataApr[[#This Row],[Time]]&gt;0.17)=TRUE, "Morning", IF(AND(AllDataApr[[#This Row],[Time]]&lt;0.75, AllDataApr[[#This Row],[Time]]&gt;=0.5)=TRUE, "Afternoon", IF(AND(AllDataApr[[#This Row],[Time]]&lt;1, AllDataApr[[#This Row],[Time]]&gt;=0.75)=TRUE, "Evening", "Night")))</f>
        <v>Morning</v>
      </c>
      <c r="G190" t="s">
        <v>156</v>
      </c>
      <c r="H190" t="str">
        <f>_xlfn.XLOOKUP(AllDataApr[[#This Row],[Location Name]], Locations[Row Labels],Locations[Group As])</f>
        <v>Alveston Weir</v>
      </c>
      <c r="I190" t="str">
        <f>_xlfn.XLOOKUP(AllDataApr[[#This Row],[Site Name]],LocationsKey[Site Name],LocationsKey[Region])</f>
        <v>Stratford</v>
      </c>
      <c r="J190" t="str">
        <f>_xlfn.XLOOKUP(AllDataApr[[#This Row],[Site Name]],LocationsKey[Site Name], LocationsKey[Waterway])</f>
        <v>Avon</v>
      </c>
      <c r="K190" t="s">
        <v>128</v>
      </c>
      <c r="L190">
        <v>52.207715999999998</v>
      </c>
      <c r="M190">
        <v>-1.6586399999999999</v>
      </c>
      <c r="N190" t="s">
        <v>18</v>
      </c>
      <c r="O190">
        <v>568</v>
      </c>
      <c r="P190">
        <v>16.100000000000001</v>
      </c>
      <c r="Q190">
        <v>5</v>
      </c>
      <c r="R190" s="7" t="str">
        <f>IF(AllDataApr[[#This Row],[Nitrate (PPM)]]&gt;2, "Very high", IF(AllDataApr[[#This Row],[Nitrate (PPM)]]&gt;1, "High", IF(AllDataApr[[#This Row],[Nitrate (PPM)]]&gt;0.5, "Some evidence", IF(AllDataApr[[#This Row],[Nitrate (PPM)]]&gt;0, "No evidence", IF(AllDataApr[[#This Row],[Nitrate (PPM)]]=0, "")))))</f>
        <v>Very high</v>
      </c>
      <c r="S190">
        <v>0.51</v>
      </c>
      <c r="T190" s="7" t="str">
        <f>IF(AllDataApr[[#This Row],[Phosphate (PPM)]]&gt;0.5, "Very high", IF(AllDataApr[[#This Row],[Phosphate (PPM)]]&gt;0.1, "High", IF(AllDataApr[[#This Row],[Phosphate (PPM)]]&gt;0.05, "Some evidence", IF(AllDataApr[[#This Row],[Phosphate (PPM)]]=0, ""))))</f>
        <v>Very high</v>
      </c>
      <c r="U190">
        <v>0</v>
      </c>
      <c r="V190" t="s">
        <v>157</v>
      </c>
    </row>
    <row r="191" spans="1:22" x14ac:dyDescent="0.3">
      <c r="A191" t="s">
        <v>721</v>
      </c>
      <c r="B191" s="2">
        <v>45246</v>
      </c>
      <c r="C191" s="2" t="str" cm="1">
        <f t="array" ref="C19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91">
        <f>YEAR(AllDataApr[[#This Row],[Date]])</f>
        <v>2023</v>
      </c>
      <c r="E191" s="1">
        <v>0.44444444444444442</v>
      </c>
      <c r="F191" s="2" t="str">
        <f>IF(AND(AllDataApr[[#This Row],[Time]]&lt;0.5, AllDataApr[[#This Row],[Time]]&gt;0.17)=TRUE, "Morning", IF(AND(AllDataApr[[#This Row],[Time]]&lt;0.75, AllDataApr[[#This Row],[Time]]&gt;=0.5)=TRUE, "Afternoon", IF(AND(AllDataApr[[#This Row],[Time]]&lt;1, AllDataApr[[#This Row],[Time]]&gt;=0.75)=TRUE, "Evening", "Night")))</f>
        <v>Morning</v>
      </c>
      <c r="G191" t="s">
        <v>127</v>
      </c>
      <c r="H191" t="str">
        <f>_xlfn.XLOOKUP(AllDataApr[[#This Row],[Location Name]], Locations[Row Labels],Locations[Group As])</f>
        <v>Swiffen Bank</v>
      </c>
      <c r="I191" t="str">
        <f>_xlfn.XLOOKUP(AllDataApr[[#This Row],[Site Name]],LocationsKey[Site Name],LocationsKey[Region])</f>
        <v>Stratford</v>
      </c>
      <c r="J191" t="str">
        <f>_xlfn.XLOOKUP(AllDataApr[[#This Row],[Site Name]],LocationsKey[Site Name], LocationsKey[Waterway])</f>
        <v>Avon</v>
      </c>
      <c r="K191" t="s">
        <v>130</v>
      </c>
      <c r="N191" t="s">
        <v>18</v>
      </c>
      <c r="O191">
        <v>584</v>
      </c>
      <c r="P191">
        <v>12.2</v>
      </c>
      <c r="Q191">
        <v>5</v>
      </c>
      <c r="R191" s="7" t="str">
        <f>IF(AllDataApr[[#This Row],[Nitrate (PPM)]]&gt;2, "Very high", IF(AllDataApr[[#This Row],[Nitrate (PPM)]]&gt;1, "High", IF(AllDataApr[[#This Row],[Nitrate (PPM)]]&gt;0.5, "Some evidence", IF(AllDataApr[[#This Row],[Nitrate (PPM)]]&gt;0, "No evidence", IF(AllDataApr[[#This Row],[Nitrate (PPM)]]=0, "")))))</f>
        <v>Very high</v>
      </c>
      <c r="S191">
        <v>0.59</v>
      </c>
      <c r="T191" s="7" t="str">
        <f>IF(AllDataApr[[#This Row],[Phosphate (PPM)]]&gt;0.5, "Very high", IF(AllDataApr[[#This Row],[Phosphate (PPM)]]&gt;0.1, "High", IF(AllDataApr[[#This Row],[Phosphate (PPM)]]&gt;0.05, "Some evidence", IF(AllDataApr[[#This Row],[Phosphate (PPM)]]=0, ""))))</f>
        <v>Very high</v>
      </c>
      <c r="U191">
        <v>1</v>
      </c>
      <c r="V191" t="s">
        <v>155</v>
      </c>
    </row>
    <row r="192" spans="1:22" x14ac:dyDescent="0.3">
      <c r="A192" t="s">
        <v>720</v>
      </c>
      <c r="B192" s="2">
        <v>45246</v>
      </c>
      <c r="C192" s="2" t="str" cm="1">
        <f t="array" ref="C19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92">
        <f>YEAR(AllDataApr[[#This Row],[Date]])</f>
        <v>2023</v>
      </c>
      <c r="E192" s="1">
        <v>0.50972222222222219</v>
      </c>
      <c r="F192" s="2" t="str">
        <f>IF(AND(AllDataApr[[#This Row],[Time]]&lt;0.5, AllDataApr[[#This Row],[Time]]&gt;0.17)=TRUE, "Morning", IF(AND(AllDataApr[[#This Row],[Time]]&lt;0.75, AllDataApr[[#This Row],[Time]]&gt;=0.5)=TRUE, "Afternoon", IF(AND(AllDataApr[[#This Row],[Time]]&lt;1, AllDataApr[[#This Row],[Time]]&gt;=0.75)=TRUE, "Evening", "Night")))</f>
        <v>Afternoon</v>
      </c>
      <c r="G192" t="s">
        <v>59</v>
      </c>
      <c r="H192" t="str">
        <f>_xlfn.XLOOKUP(AllDataApr[[#This Row],[Location Name]], Locations[Row Labels],Locations[Group As])</f>
        <v>Preston-on-Stour River Bridge</v>
      </c>
      <c r="I192" t="str">
        <f>_xlfn.XLOOKUP(AllDataApr[[#This Row],[Site Name]],LocationsKey[Site Name],LocationsKey[Region])</f>
        <v>Stratford</v>
      </c>
      <c r="J192" t="str">
        <f>_xlfn.XLOOKUP(AllDataApr[[#This Row],[Site Name]],LocationsKey[Site Name], LocationsKey[Waterway])</f>
        <v>Stour</v>
      </c>
      <c r="K192" t="s">
        <v>78</v>
      </c>
      <c r="L192">
        <v>52.146557999999999</v>
      </c>
      <c r="M192">
        <v>-1.6991499999999999</v>
      </c>
      <c r="N192" t="s">
        <v>18</v>
      </c>
      <c r="O192">
        <v>609</v>
      </c>
      <c r="P192">
        <v>9.4</v>
      </c>
      <c r="Q192">
        <v>5</v>
      </c>
      <c r="R192" s="7" t="str">
        <f>IF(AllDataApr[[#This Row],[Nitrate (PPM)]]&gt;2, "Very high", IF(AllDataApr[[#This Row],[Nitrate (PPM)]]&gt;1, "High", IF(AllDataApr[[#This Row],[Nitrate (PPM)]]&gt;0.5, "Some evidence", IF(AllDataApr[[#This Row],[Nitrate (PPM)]]&gt;0, "No evidence", IF(AllDataApr[[#This Row],[Nitrate (PPM)]]=0, "")))))</f>
        <v>Very high</v>
      </c>
      <c r="S192">
        <v>0.2</v>
      </c>
      <c r="T192" s="7" t="str">
        <f>IF(AllDataApr[[#This Row],[Phosphate (PPM)]]&gt;0.5, "Very high", IF(AllDataApr[[#This Row],[Phosphate (PPM)]]&gt;0.1, "High", IF(AllDataApr[[#This Row],[Phosphate (PPM)]]&gt;0.05, "Some evidence", IF(AllDataApr[[#This Row],[Phosphate (PPM)]]=0, ""))))</f>
        <v>High</v>
      </c>
      <c r="U192">
        <v>1.5</v>
      </c>
      <c r="V192" t="s">
        <v>154</v>
      </c>
    </row>
    <row r="193" spans="1:22" x14ac:dyDescent="0.3">
      <c r="A193" t="s">
        <v>708</v>
      </c>
      <c r="B193" s="2">
        <v>45248</v>
      </c>
      <c r="C193" s="2" t="str" cm="1">
        <f t="array" ref="C19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93">
        <f>YEAR(AllDataApr[[#This Row],[Date]])</f>
        <v>2023</v>
      </c>
      <c r="E193" s="1">
        <v>0.52083333333333337</v>
      </c>
      <c r="F193" s="2" t="str">
        <f>IF(AND(AllDataApr[[#This Row],[Time]]&lt;0.5, AllDataApr[[#This Row],[Time]]&gt;0.17)=TRUE, "Morning", IF(AND(AllDataApr[[#This Row],[Time]]&lt;0.75, AllDataApr[[#This Row],[Time]]&gt;=0.5)=TRUE, "Afternoon", IF(AND(AllDataApr[[#This Row],[Time]]&lt;1, AllDataApr[[#This Row],[Time]]&gt;=0.75)=TRUE, "Evening", "Night")))</f>
        <v>Afternoon</v>
      </c>
      <c r="G193" t="s">
        <v>52</v>
      </c>
      <c r="H193" t="str">
        <f>_xlfn.XLOOKUP(AllDataApr[[#This Row],[Location Name]], Locations[Row Labels],Locations[Group As])</f>
        <v>Carrant Bredon Rd</v>
      </c>
      <c r="I193" t="str">
        <f>_xlfn.XLOOKUP(AllDataApr[[#This Row],[Site Name]],LocationsKey[Site Name],LocationsKey[Region])</f>
        <v>Tewkesbury</v>
      </c>
      <c r="J193" t="str">
        <f>_xlfn.XLOOKUP(AllDataApr[[#This Row],[Site Name]],LocationsKey[Site Name], LocationsKey[Waterway])</f>
        <v>Carrant</v>
      </c>
      <c r="K193" t="s">
        <v>53</v>
      </c>
      <c r="N193" t="s">
        <v>200</v>
      </c>
      <c r="O193">
        <v>652</v>
      </c>
      <c r="P193">
        <v>12.1</v>
      </c>
      <c r="Q193">
        <v>6</v>
      </c>
      <c r="R193" s="7" t="str">
        <f>IF(AllDataApr[[#This Row],[Nitrate (PPM)]]&gt;2, "Very high", IF(AllDataApr[[#This Row],[Nitrate (PPM)]]&gt;1, "High", IF(AllDataApr[[#This Row],[Nitrate (PPM)]]&gt;0.5, "Some evidence", IF(AllDataApr[[#This Row],[Nitrate (PPM)]]&gt;0, "No evidence", IF(AllDataApr[[#This Row],[Nitrate (PPM)]]=0, "")))))</f>
        <v>Very high</v>
      </c>
      <c r="S193">
        <v>0.32</v>
      </c>
      <c r="T193" s="7" t="str">
        <f>IF(AllDataApr[[#This Row],[Phosphate (PPM)]]&gt;0.5, "Very high", IF(AllDataApr[[#This Row],[Phosphate (PPM)]]&gt;0.1, "High", IF(AllDataApr[[#This Row],[Phosphate (PPM)]]&gt;0.05, "Some evidence", IF(AllDataApr[[#This Row],[Phosphate (PPM)]]=0, ""))))</f>
        <v>High</v>
      </c>
      <c r="U193">
        <v>1</v>
      </c>
    </row>
    <row r="194" spans="1:22" x14ac:dyDescent="0.3">
      <c r="A194" t="s">
        <v>719</v>
      </c>
      <c r="B194" s="2">
        <v>45248</v>
      </c>
      <c r="C194" s="2" t="str" cm="1">
        <f t="array" ref="C19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94">
        <f>YEAR(AllDataApr[[#This Row],[Date]])</f>
        <v>2023</v>
      </c>
      <c r="E194" s="1">
        <v>0.67013888888888884</v>
      </c>
      <c r="F194" s="2" t="str">
        <f>IF(AND(AllDataApr[[#This Row],[Time]]&lt;0.5, AllDataApr[[#This Row],[Time]]&gt;0.17)=TRUE, "Morning", IF(AND(AllDataApr[[#This Row],[Time]]&lt;0.75, AllDataApr[[#This Row],[Time]]&gt;=0.5)=TRUE, "Afternoon", IF(AND(AllDataApr[[#This Row],[Time]]&lt;1, AllDataApr[[#This Row],[Time]]&gt;=0.75)=TRUE, "Evening", "Night")))</f>
        <v>Afternoon</v>
      </c>
      <c r="G194" t="s">
        <v>11</v>
      </c>
      <c r="H194" t="str">
        <f>_xlfn.XLOOKUP(AllDataApr[[#This Row],[Location Name]], Locations[Row Labels],Locations[Group As])</f>
        <v>Abbey Mill</v>
      </c>
      <c r="I194" t="str">
        <f>_xlfn.XLOOKUP(AllDataApr[[#This Row],[Site Name]],LocationsKey[Site Name],LocationsKey[Region])</f>
        <v>Tewkesbury</v>
      </c>
      <c r="J194" t="str">
        <f>_xlfn.XLOOKUP(AllDataApr[[#This Row],[Site Name]],LocationsKey[Site Name], LocationsKey[Waterway])</f>
        <v>Avon</v>
      </c>
      <c r="K194" t="s">
        <v>12</v>
      </c>
      <c r="L194">
        <v>51.991405</v>
      </c>
      <c r="M194">
        <v>-2.16309</v>
      </c>
      <c r="N194" t="s">
        <v>200</v>
      </c>
      <c r="O194">
        <v>701</v>
      </c>
      <c r="P194">
        <v>11.6</v>
      </c>
      <c r="Q194">
        <v>8</v>
      </c>
      <c r="R194" s="7" t="str">
        <f>IF(AllDataApr[[#This Row],[Nitrate (PPM)]]&gt;2, "Very high", IF(AllDataApr[[#This Row],[Nitrate (PPM)]]&gt;1, "High", IF(AllDataApr[[#This Row],[Nitrate (PPM)]]&gt;0.5, "Some evidence", IF(AllDataApr[[#This Row],[Nitrate (PPM)]]&gt;0, "No evidence", IF(AllDataApr[[#This Row],[Nitrate (PPM)]]=0, "")))))</f>
        <v>Very high</v>
      </c>
      <c r="S194">
        <v>0.81</v>
      </c>
      <c r="T194" s="7" t="str">
        <f>IF(AllDataApr[[#This Row],[Phosphate (PPM)]]&gt;0.5, "Very high", IF(AllDataApr[[#This Row],[Phosphate (PPM)]]&gt;0.1, "High", IF(AllDataApr[[#This Row],[Phosphate (PPM)]]&gt;0.05, "Some evidence", IF(AllDataApr[[#This Row],[Phosphate (PPM)]]=0, ""))))</f>
        <v>Very high</v>
      </c>
      <c r="U194">
        <v>2</v>
      </c>
    </row>
    <row r="195" spans="1:22" x14ac:dyDescent="0.3">
      <c r="A195" t="s">
        <v>718</v>
      </c>
      <c r="B195" s="2">
        <v>45248</v>
      </c>
      <c r="C195" s="2" t="str" cm="1">
        <f t="array" ref="C19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95">
        <f>YEAR(AllDataApr[[#This Row],[Date]])</f>
        <v>2023</v>
      </c>
      <c r="E195" s="1">
        <v>0.70833333333333337</v>
      </c>
      <c r="F195" s="2" t="str">
        <f>IF(AND(AllDataApr[[#This Row],[Time]]&lt;0.5, AllDataApr[[#This Row],[Time]]&gt;0.17)=TRUE, "Morning", IF(AND(AllDataApr[[#This Row],[Time]]&lt;0.75, AllDataApr[[#This Row],[Time]]&gt;=0.5)=TRUE, "Afternoon", IF(AND(AllDataApr[[#This Row],[Time]]&lt;1, AllDataApr[[#This Row],[Time]]&gt;=0.75)=TRUE, "Evening", "Night")))</f>
        <v>Afternoon</v>
      </c>
      <c r="G195" t="s">
        <v>46</v>
      </c>
      <c r="H195" t="str">
        <f>_xlfn.XLOOKUP(AllDataApr[[#This Row],[Location Name]], Locations[Row Labels],Locations[Group As])</f>
        <v>Swilgate</v>
      </c>
      <c r="I195" t="str">
        <f>_xlfn.XLOOKUP(AllDataApr[[#This Row],[Site Name]],LocationsKey[Site Name],LocationsKey[Region])</f>
        <v>Tewkesbury</v>
      </c>
      <c r="J195" t="str">
        <f>_xlfn.XLOOKUP(AllDataApr[[#This Row],[Site Name]],LocationsKey[Site Name], LocationsKey[Waterway])</f>
        <v>Swilgate</v>
      </c>
      <c r="K195" t="s">
        <v>47</v>
      </c>
      <c r="N195" t="s">
        <v>200</v>
      </c>
      <c r="O195">
        <v>857</v>
      </c>
      <c r="P195">
        <v>14.6</v>
      </c>
      <c r="Q195">
        <v>5</v>
      </c>
      <c r="R195" s="7" t="str">
        <f>IF(AllDataApr[[#This Row],[Nitrate (PPM)]]&gt;2, "Very high", IF(AllDataApr[[#This Row],[Nitrate (PPM)]]&gt;1, "High", IF(AllDataApr[[#This Row],[Nitrate (PPM)]]&gt;0.5, "Some evidence", IF(AllDataApr[[#This Row],[Nitrate (PPM)]]&gt;0, "No evidence", IF(AllDataApr[[#This Row],[Nitrate (PPM)]]=0, "")))))</f>
        <v>Very high</v>
      </c>
      <c r="S195">
        <v>0.42</v>
      </c>
      <c r="T195" s="7" t="str">
        <f>IF(AllDataApr[[#This Row],[Phosphate (PPM)]]&gt;0.5, "Very high", IF(AllDataApr[[#This Row],[Phosphate (PPM)]]&gt;0.1, "High", IF(AllDataApr[[#This Row],[Phosphate (PPM)]]&gt;0.05, "Some evidence", IF(AllDataApr[[#This Row],[Phosphate (PPM)]]=0, ""))))</f>
        <v>High</v>
      </c>
      <c r="U195">
        <v>1</v>
      </c>
    </row>
    <row r="196" spans="1:22" x14ac:dyDescent="0.3">
      <c r="A196" t="s">
        <v>462</v>
      </c>
      <c r="B196" s="2">
        <v>45249</v>
      </c>
      <c r="C196" s="2" t="str" cm="1">
        <f t="array" ref="C19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96">
        <f>YEAR(AllDataApr[[#This Row],[Date]])</f>
        <v>2023</v>
      </c>
      <c r="E196" s="1">
        <v>0.41666666666666669</v>
      </c>
      <c r="F196" s="2" t="str">
        <f>IF(AND(AllDataApr[[#This Row],[Time]]&lt;0.5, AllDataApr[[#This Row],[Time]]&gt;0.17)=TRUE, "Morning", IF(AND(AllDataApr[[#This Row],[Time]]&lt;0.75, AllDataApr[[#This Row],[Time]]&gt;=0.5)=TRUE, "Afternoon", IF(AND(AllDataApr[[#This Row],[Time]]&lt;1, AllDataApr[[#This Row],[Time]]&gt;=0.75)=TRUE, "Evening", "Night")))</f>
        <v>Morning</v>
      </c>
      <c r="G196" t="s">
        <v>278</v>
      </c>
      <c r="H196" t="str">
        <f>_xlfn.XLOOKUP(AllDataApr[[#This Row],[Location Name]], Locations[Row Labels],Locations[Group As])</f>
        <v>Pitch 16</v>
      </c>
      <c r="I196" t="str">
        <f>_xlfn.XLOOKUP(AllDataApr[[#This Row],[Site Name]],LocationsKey[Site Name],LocationsKey[Region])</f>
        <v>Stratford</v>
      </c>
      <c r="J196" t="str">
        <f>_xlfn.XLOOKUP(AllDataApr[[#This Row],[Site Name]],LocationsKey[Site Name], LocationsKey[Waterway])</f>
        <v>Avon</v>
      </c>
      <c r="K196" t="s">
        <v>39</v>
      </c>
      <c r="N196" t="s">
        <v>18</v>
      </c>
      <c r="O196">
        <v>681</v>
      </c>
      <c r="P196">
        <v>16.5</v>
      </c>
      <c r="Q196">
        <v>5</v>
      </c>
      <c r="R196" s="7" t="str">
        <f>IF(AllDataApr[[#This Row],[Nitrate (PPM)]]&gt;2, "Very high", IF(AllDataApr[[#This Row],[Nitrate (PPM)]]&gt;1, "High", IF(AllDataApr[[#This Row],[Nitrate (PPM)]]&gt;0.5, "Some evidence", IF(AllDataApr[[#This Row],[Nitrate (PPM)]]&gt;0, "No evidence", IF(AllDataApr[[#This Row],[Nitrate (PPM)]]=0, "")))))</f>
        <v>Very high</v>
      </c>
      <c r="S196">
        <v>0.42</v>
      </c>
      <c r="T196" s="7" t="str">
        <f>IF(AllDataApr[[#This Row],[Phosphate (PPM)]]&gt;0.5, "Very high", IF(AllDataApr[[#This Row],[Phosphate (PPM)]]&gt;0.1, "High", IF(AllDataApr[[#This Row],[Phosphate (PPM)]]&gt;0.05, "Some evidence", IF(AllDataApr[[#This Row],[Phosphate (PPM)]]=0, ""))))</f>
        <v>High</v>
      </c>
      <c r="U196">
        <v>0.8</v>
      </c>
    </row>
    <row r="197" spans="1:22" x14ac:dyDescent="0.3">
      <c r="A197" t="s">
        <v>463</v>
      </c>
      <c r="B197" s="2">
        <v>45249</v>
      </c>
      <c r="C197" s="2" t="str" cm="1">
        <f t="array" ref="C19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97">
        <f>YEAR(AllDataApr[[#This Row],[Date]])</f>
        <v>2023</v>
      </c>
      <c r="E197" s="1">
        <v>0.41666666666666669</v>
      </c>
      <c r="F197" s="2" t="str">
        <f>IF(AND(AllDataApr[[#This Row],[Time]]&lt;0.5, AllDataApr[[#This Row],[Time]]&gt;0.17)=TRUE, "Morning", IF(AND(AllDataApr[[#This Row],[Time]]&lt;0.75, AllDataApr[[#This Row],[Time]]&gt;=0.5)=TRUE, "Afternoon", IF(AND(AllDataApr[[#This Row],[Time]]&lt;1, AllDataApr[[#This Row],[Time]]&gt;=0.75)=TRUE, "Evening", "Night")))</f>
        <v>Morning</v>
      </c>
      <c r="G197" t="s">
        <v>278</v>
      </c>
      <c r="H197" t="str">
        <f>_xlfn.XLOOKUP(AllDataApr[[#This Row],[Location Name]], Locations[Row Labels],Locations[Group As])</f>
        <v>Avonbank Drive</v>
      </c>
      <c r="I197" t="str">
        <f>_xlfn.XLOOKUP(AllDataApr[[#This Row],[Site Name]],LocationsKey[Site Name],LocationsKey[Region])</f>
        <v>Stratford</v>
      </c>
      <c r="J197" t="str">
        <f>_xlfn.XLOOKUP(AllDataApr[[#This Row],[Site Name]],LocationsKey[Site Name], LocationsKey[Waterway])</f>
        <v>Avon</v>
      </c>
      <c r="K197" t="s">
        <v>71</v>
      </c>
      <c r="N197" t="s">
        <v>42</v>
      </c>
      <c r="O197">
        <v>725</v>
      </c>
      <c r="P197">
        <v>16.5</v>
      </c>
      <c r="Q197">
        <v>5</v>
      </c>
      <c r="R197" s="7" t="str">
        <f>IF(AllDataApr[[#This Row],[Nitrate (PPM)]]&gt;2, "Very high", IF(AllDataApr[[#This Row],[Nitrate (PPM)]]&gt;1, "High", IF(AllDataApr[[#This Row],[Nitrate (PPM)]]&gt;0.5, "Some evidence", IF(AllDataApr[[#This Row],[Nitrate (PPM)]]&gt;0, "No evidence", IF(AllDataApr[[#This Row],[Nitrate (PPM)]]=0, "")))))</f>
        <v>Very high</v>
      </c>
      <c r="S197">
        <v>0.32</v>
      </c>
      <c r="T197" s="7" t="str">
        <f>IF(AllDataApr[[#This Row],[Phosphate (PPM)]]&gt;0.5, "Very high", IF(AllDataApr[[#This Row],[Phosphate (PPM)]]&gt;0.1, "High", IF(AllDataApr[[#This Row],[Phosphate (PPM)]]&gt;0.05, "Some evidence", IF(AllDataApr[[#This Row],[Phosphate (PPM)]]=0, ""))))</f>
        <v>High</v>
      </c>
      <c r="U197">
        <v>0.8</v>
      </c>
    </row>
    <row r="198" spans="1:22" x14ac:dyDescent="0.3">
      <c r="A198" t="s">
        <v>712</v>
      </c>
      <c r="B198" s="2">
        <v>45249</v>
      </c>
      <c r="C198" s="2" t="str" cm="1">
        <f t="array" ref="C19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98">
        <f>YEAR(AllDataApr[[#This Row],[Date]])</f>
        <v>2023</v>
      </c>
      <c r="E198" s="1">
        <v>0.51041666666666663</v>
      </c>
      <c r="F198" s="2" t="str">
        <f>IF(AND(AllDataApr[[#This Row],[Time]]&lt;0.5, AllDataApr[[#This Row],[Time]]&gt;0.17)=TRUE, "Morning", IF(AND(AllDataApr[[#This Row],[Time]]&lt;0.75, AllDataApr[[#This Row],[Time]]&gt;=0.5)=TRUE, "Afternoon", IF(AND(AllDataApr[[#This Row],[Time]]&lt;1, AllDataApr[[#This Row],[Time]]&gt;=0.75)=TRUE, "Evening", "Night")))</f>
        <v>Afternoon</v>
      </c>
      <c r="G198" t="s">
        <v>20</v>
      </c>
      <c r="H198" t="str">
        <f>_xlfn.XLOOKUP(AllDataApr[[#This Row],[Location Name]], Locations[Row Labels],Locations[Group As])</f>
        <v>Hampton Wood</v>
      </c>
      <c r="I198" t="str">
        <f>_xlfn.XLOOKUP(AllDataApr[[#This Row],[Site Name]],LocationsKey[Site Name],LocationsKey[Region])</f>
        <v>Stratford</v>
      </c>
      <c r="J198" t="str">
        <f>_xlfn.XLOOKUP(AllDataApr[[#This Row],[Site Name]],LocationsKey[Site Name], LocationsKey[Waterway])</f>
        <v>Avon</v>
      </c>
      <c r="K198" t="s">
        <v>25</v>
      </c>
      <c r="L198">
        <v>52.238149999999997</v>
      </c>
      <c r="M198">
        <v>-1.6245799999999999</v>
      </c>
      <c r="N198" t="s">
        <v>18</v>
      </c>
      <c r="P198">
        <v>12.4</v>
      </c>
      <c r="Q198">
        <v>6</v>
      </c>
      <c r="R198" s="7" t="str">
        <f>IF(AllDataApr[[#This Row],[Nitrate (PPM)]]&gt;2, "Very high", IF(AllDataApr[[#This Row],[Nitrate (PPM)]]&gt;1, "High", IF(AllDataApr[[#This Row],[Nitrate (PPM)]]&gt;0.5, "Some evidence", IF(AllDataApr[[#This Row],[Nitrate (PPM)]]&gt;0, "No evidence", IF(AllDataApr[[#This Row],[Nitrate (PPM)]]=0, "")))))</f>
        <v>Very high</v>
      </c>
      <c r="S198">
        <v>0.44</v>
      </c>
      <c r="T198" s="7" t="str">
        <f>IF(AllDataApr[[#This Row],[Phosphate (PPM)]]&gt;0.5, "Very high", IF(AllDataApr[[#This Row],[Phosphate (PPM)]]&gt;0.1, "High", IF(AllDataApr[[#This Row],[Phosphate (PPM)]]&gt;0.05, "Some evidence", IF(AllDataApr[[#This Row],[Phosphate (PPM)]]=0, ""))))</f>
        <v>High</v>
      </c>
      <c r="U198">
        <v>0</v>
      </c>
    </row>
    <row r="199" spans="1:22" x14ac:dyDescent="0.3">
      <c r="A199" t="s">
        <v>711</v>
      </c>
      <c r="B199" s="2">
        <v>45249</v>
      </c>
      <c r="C199" s="2" t="str" cm="1">
        <f t="array" ref="C19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199">
        <f>YEAR(AllDataApr[[#This Row],[Date]])</f>
        <v>2023</v>
      </c>
      <c r="E199" s="1">
        <v>0.53125</v>
      </c>
      <c r="F199" s="2" t="str">
        <f>IF(AND(AllDataApr[[#This Row],[Time]]&lt;0.5, AllDataApr[[#This Row],[Time]]&gt;0.17)=TRUE, "Morning", IF(AND(AllDataApr[[#This Row],[Time]]&lt;0.75, AllDataApr[[#This Row],[Time]]&gt;=0.5)=TRUE, "Afternoon", IF(AND(AllDataApr[[#This Row],[Time]]&lt;1, AllDataApr[[#This Row],[Time]]&gt;=0.75)=TRUE, "Evening", "Night")))</f>
        <v>Afternoon</v>
      </c>
      <c r="G199" t="s">
        <v>95</v>
      </c>
      <c r="H199" t="str">
        <f>_xlfn.XLOOKUP(AllDataApr[[#This Row],[Location Name]], Locations[Row Labels],Locations[Group As])</f>
        <v>Hampton Lucy</v>
      </c>
      <c r="I199" t="str">
        <f>_xlfn.XLOOKUP(AllDataApr[[#This Row],[Site Name]],LocationsKey[Site Name],LocationsKey[Region])</f>
        <v>Stratford</v>
      </c>
      <c r="J199" t="str">
        <f>_xlfn.XLOOKUP(AllDataApr[[#This Row],[Site Name]],LocationsKey[Site Name], LocationsKey[Waterway])</f>
        <v>Avon</v>
      </c>
      <c r="K199" t="s">
        <v>27</v>
      </c>
      <c r="L199">
        <v>52.211680000000001</v>
      </c>
      <c r="M199">
        <v>-1.6244400000000001</v>
      </c>
      <c r="N199" t="s">
        <v>200</v>
      </c>
      <c r="O199">
        <v>636</v>
      </c>
      <c r="P199">
        <v>12.6</v>
      </c>
      <c r="Q199">
        <v>7</v>
      </c>
      <c r="R199" s="7" t="str">
        <f>IF(AllDataApr[[#This Row],[Nitrate (PPM)]]&gt;2, "Very high", IF(AllDataApr[[#This Row],[Nitrate (PPM)]]&gt;1, "High", IF(AllDataApr[[#This Row],[Nitrate (PPM)]]&gt;0.5, "Some evidence", IF(AllDataApr[[#This Row],[Nitrate (PPM)]]&gt;0, "No evidence", IF(AllDataApr[[#This Row],[Nitrate (PPM)]]=0, "")))))</f>
        <v>Very high</v>
      </c>
      <c r="S199">
        <v>0.44</v>
      </c>
      <c r="T199" s="7" t="str">
        <f>IF(AllDataApr[[#This Row],[Phosphate (PPM)]]&gt;0.5, "Very high", IF(AllDataApr[[#This Row],[Phosphate (PPM)]]&gt;0.1, "High", IF(AllDataApr[[#This Row],[Phosphate (PPM)]]&gt;0.05, "Some evidence", IF(AllDataApr[[#This Row],[Phosphate (PPM)]]=0, ""))))</f>
        <v>High</v>
      </c>
      <c r="U199">
        <v>0</v>
      </c>
    </row>
    <row r="200" spans="1:22" x14ac:dyDescent="0.3">
      <c r="A200" t="s">
        <v>707</v>
      </c>
      <c r="B200" s="2">
        <v>45249</v>
      </c>
      <c r="C200" s="2" t="str" cm="1">
        <f t="array" ref="C20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00">
        <f>YEAR(AllDataApr[[#This Row],[Date]])</f>
        <v>2023</v>
      </c>
      <c r="E200" s="1">
        <v>0.58333333333333337</v>
      </c>
      <c r="F200" s="2" t="str">
        <f>IF(AND(AllDataApr[[#This Row],[Time]]&lt;0.5, AllDataApr[[#This Row],[Time]]&gt;0.17)=TRUE, "Morning", IF(AND(AllDataApr[[#This Row],[Time]]&lt;0.75, AllDataApr[[#This Row],[Time]]&gt;=0.5)=TRUE, "Afternoon", IF(AND(AllDataApr[[#This Row],[Time]]&lt;1, AllDataApr[[#This Row],[Time]]&gt;=0.75)=TRUE, "Evening", "Night")))</f>
        <v>Afternoon</v>
      </c>
      <c r="G200" t="s">
        <v>112</v>
      </c>
      <c r="H200" t="str">
        <f>_xlfn.XLOOKUP(AllDataApr[[#This Row],[Location Name]], Locations[Row Labels],Locations[Group As])</f>
        <v>Clifford Chambers Mill Bridge</v>
      </c>
      <c r="I200" t="str">
        <f>_xlfn.XLOOKUP(AllDataApr[[#This Row],[Site Name]],LocationsKey[Site Name],LocationsKey[Region])</f>
        <v>Stratford</v>
      </c>
      <c r="J200" t="str">
        <f>_xlfn.XLOOKUP(AllDataApr[[#This Row],[Site Name]],LocationsKey[Site Name], LocationsKey[Waterway])</f>
        <v>Stour</v>
      </c>
      <c r="K200" t="s">
        <v>119</v>
      </c>
      <c r="L200">
        <v>52.166370000000001</v>
      </c>
      <c r="M200">
        <v>-1.708032</v>
      </c>
      <c r="N200" t="s">
        <v>1047</v>
      </c>
      <c r="O200">
        <v>493</v>
      </c>
      <c r="P200">
        <v>13.5</v>
      </c>
      <c r="Q200">
        <v>5</v>
      </c>
      <c r="R200" s="7" t="str">
        <f>IF(AllDataApr[[#This Row],[Nitrate (PPM)]]&gt;2, "Very high", IF(AllDataApr[[#This Row],[Nitrate (PPM)]]&gt;1, "High", IF(AllDataApr[[#This Row],[Nitrate (PPM)]]&gt;0.5, "Some evidence", IF(AllDataApr[[#This Row],[Nitrate (PPM)]]&gt;0, "No evidence", IF(AllDataApr[[#This Row],[Nitrate (PPM)]]=0, "")))))</f>
        <v>Very high</v>
      </c>
      <c r="S200">
        <v>0.28000000000000003</v>
      </c>
      <c r="T200" s="7" t="str">
        <f>IF(AllDataApr[[#This Row],[Phosphate (PPM)]]&gt;0.5, "Very high", IF(AllDataApr[[#This Row],[Phosphate (PPM)]]&gt;0.1, "High", IF(AllDataApr[[#This Row],[Phosphate (PPM)]]&gt;0.05, "Some evidence", IF(AllDataApr[[#This Row],[Phosphate (PPM)]]=0, ""))))</f>
        <v>High</v>
      </c>
      <c r="U200">
        <v>1.3</v>
      </c>
    </row>
    <row r="201" spans="1:22" x14ac:dyDescent="0.3">
      <c r="A201" t="s">
        <v>710</v>
      </c>
      <c r="B201" s="2">
        <v>45249</v>
      </c>
      <c r="C201" s="2" t="str" cm="1">
        <f t="array" ref="C20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01">
        <f>YEAR(AllDataApr[[#This Row],[Date]])</f>
        <v>2023</v>
      </c>
      <c r="E201" s="1">
        <v>0.64583333333333337</v>
      </c>
      <c r="F201" s="2" t="str">
        <f>IF(AND(AllDataApr[[#This Row],[Time]]&lt;0.5, AllDataApr[[#This Row],[Time]]&gt;0.17)=TRUE, "Morning", IF(AND(AllDataApr[[#This Row],[Time]]&lt;0.75, AllDataApr[[#This Row],[Time]]&gt;=0.5)=TRUE, "Afternoon", IF(AND(AllDataApr[[#This Row],[Time]]&lt;1, AllDataApr[[#This Row],[Time]]&gt;=0.75)=TRUE, "Evening", "Night")))</f>
        <v>Afternoon</v>
      </c>
      <c r="G201" t="s">
        <v>35</v>
      </c>
      <c r="H201" t="str">
        <f>_xlfn.XLOOKUP(AllDataApr[[#This Row],[Location Name]], Locations[Row Labels],Locations[Group As])</f>
        <v>Welford Boat Station</v>
      </c>
      <c r="I201" t="str">
        <f>_xlfn.XLOOKUP(AllDataApr[[#This Row],[Site Name]],LocationsKey[Site Name],LocationsKey[Region])</f>
        <v>Stratford</v>
      </c>
      <c r="J201" t="str">
        <f>_xlfn.XLOOKUP(AllDataApr[[#This Row],[Site Name]],LocationsKey[Site Name], LocationsKey[Waterway])</f>
        <v>Avon</v>
      </c>
      <c r="K201" t="s">
        <v>22</v>
      </c>
      <c r="L201">
        <v>52.175240000000002</v>
      </c>
      <c r="M201">
        <v>-1.7918700000000001</v>
      </c>
      <c r="N201" t="s">
        <v>18</v>
      </c>
      <c r="O201">
        <v>680</v>
      </c>
      <c r="P201">
        <v>11.8</v>
      </c>
      <c r="Q201">
        <v>12</v>
      </c>
      <c r="R201" s="7" t="str">
        <f>IF(AllDataApr[[#This Row],[Nitrate (PPM)]]&gt;2, "Very high", IF(AllDataApr[[#This Row],[Nitrate (PPM)]]&gt;1, "High", IF(AllDataApr[[#This Row],[Nitrate (PPM)]]&gt;0.5, "Some evidence", IF(AllDataApr[[#This Row],[Nitrate (PPM)]]&gt;0, "No evidence", IF(AllDataApr[[#This Row],[Nitrate (PPM)]]=0, "")))))</f>
        <v>Very high</v>
      </c>
      <c r="S201">
        <v>0.31</v>
      </c>
      <c r="T201" s="7" t="str">
        <f>IF(AllDataApr[[#This Row],[Phosphate (PPM)]]&gt;0.5, "Very high", IF(AllDataApr[[#This Row],[Phosphate (PPM)]]&gt;0.1, "High", IF(AllDataApr[[#This Row],[Phosphate (PPM)]]&gt;0.05, "Some evidence", IF(AllDataApr[[#This Row],[Phosphate (PPM)]]=0, ""))))</f>
        <v>High</v>
      </c>
      <c r="U201">
        <v>0</v>
      </c>
      <c r="V201" t="s">
        <v>158</v>
      </c>
    </row>
    <row r="202" spans="1:22" x14ac:dyDescent="0.3">
      <c r="A202" t="s">
        <v>717</v>
      </c>
      <c r="B202" s="2">
        <v>45250</v>
      </c>
      <c r="C202" s="2" t="str" cm="1">
        <f t="array" ref="C20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02">
        <f>YEAR(AllDataApr[[#This Row],[Date]])</f>
        <v>2023</v>
      </c>
      <c r="E202" s="1">
        <v>0.39861111111111114</v>
      </c>
      <c r="F202" s="2" t="str">
        <f>IF(AND(AllDataApr[[#This Row],[Time]]&lt;0.5, AllDataApr[[#This Row],[Time]]&gt;0.17)=TRUE, "Morning", IF(AND(AllDataApr[[#This Row],[Time]]&lt;0.75, AllDataApr[[#This Row],[Time]]&gt;=0.5)=TRUE, "Afternoon", IF(AND(AllDataApr[[#This Row],[Time]]&lt;1, AllDataApr[[#This Row],[Time]]&gt;=0.75)=TRUE, "Evening", "Night")))</f>
        <v>Morning</v>
      </c>
      <c r="G202" t="s">
        <v>150</v>
      </c>
      <c r="H202" t="str">
        <f>_xlfn.XLOOKUP(AllDataApr[[#This Row],[Location Name]], Locations[Row Labels],Locations[Group As])</f>
        <v>Stour Stretton-on-Fosse Village</v>
      </c>
      <c r="I202" t="str">
        <f>_xlfn.XLOOKUP(AllDataApr[[#This Row],[Site Name]],LocationsKey[Site Name],LocationsKey[Region])</f>
        <v>Shipston</v>
      </c>
      <c r="J202" t="str">
        <f>_xlfn.XLOOKUP(AllDataApr[[#This Row],[Site Name]],LocationsKey[Site Name], LocationsKey[Waterway])</f>
        <v>Stour</v>
      </c>
      <c r="K202" t="s">
        <v>152</v>
      </c>
      <c r="L202">
        <v>52.046506999999998</v>
      </c>
      <c r="M202">
        <v>-1.6734880000000001</v>
      </c>
      <c r="N202" t="s">
        <v>42</v>
      </c>
      <c r="O202">
        <v>573</v>
      </c>
      <c r="P202">
        <v>10.199999999999999</v>
      </c>
      <c r="Q202">
        <v>2</v>
      </c>
      <c r="R202" s="7" t="str">
        <f>IF(AllDataApr[[#This Row],[Nitrate (PPM)]]&gt;2, "Very high", IF(AllDataApr[[#This Row],[Nitrate (PPM)]]&gt;1, "High", IF(AllDataApr[[#This Row],[Nitrate (PPM)]]&gt;0.5, "Some evidence", IF(AllDataApr[[#This Row],[Nitrate (PPM)]]&gt;0, "No evidence", IF(AllDataApr[[#This Row],[Nitrate (PPM)]]=0, "")))))</f>
        <v>High</v>
      </c>
      <c r="S202">
        <v>0.68</v>
      </c>
      <c r="T202" s="7" t="str">
        <f>IF(AllDataApr[[#This Row],[Phosphate (PPM)]]&gt;0.5, "Very high", IF(AllDataApr[[#This Row],[Phosphate (PPM)]]&gt;0.1, "High", IF(AllDataApr[[#This Row],[Phosphate (PPM)]]&gt;0.05, "Some evidence", IF(AllDataApr[[#This Row],[Phosphate (PPM)]]=0, ""))))</f>
        <v>Very high</v>
      </c>
      <c r="U202">
        <v>0.2</v>
      </c>
    </row>
    <row r="203" spans="1:22" x14ac:dyDescent="0.3">
      <c r="A203" t="s">
        <v>716</v>
      </c>
      <c r="B203" s="2">
        <v>45250</v>
      </c>
      <c r="C203" s="2" t="str" cm="1">
        <f t="array" ref="C20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03">
        <f>YEAR(AllDataApr[[#This Row],[Date]])</f>
        <v>2023</v>
      </c>
      <c r="E203" s="1">
        <v>0.41388888888888886</v>
      </c>
      <c r="F203" s="2" t="str">
        <f>IF(AND(AllDataApr[[#This Row],[Time]]&lt;0.5, AllDataApr[[#This Row],[Time]]&gt;0.17)=TRUE, "Morning", IF(AND(AllDataApr[[#This Row],[Time]]&lt;0.75, AllDataApr[[#This Row],[Time]]&gt;=0.5)=TRUE, "Afternoon", IF(AND(AllDataApr[[#This Row],[Time]]&lt;1, AllDataApr[[#This Row],[Time]]&gt;=0.75)=TRUE, "Evening", "Night")))</f>
        <v>Morning</v>
      </c>
      <c r="G203" t="s">
        <v>150</v>
      </c>
      <c r="H203" t="str">
        <f>_xlfn.XLOOKUP(AllDataApr[[#This Row],[Location Name]], Locations[Row Labels],Locations[Group As])</f>
        <v>Stour Stretton-on-Fosse Sewage Works</v>
      </c>
      <c r="I203" t="str">
        <f>_xlfn.XLOOKUP(AllDataApr[[#This Row],[Site Name]],LocationsKey[Site Name],LocationsKey[Region])</f>
        <v>Shipston</v>
      </c>
      <c r="J203" t="str">
        <f>_xlfn.XLOOKUP(AllDataApr[[#This Row],[Site Name]],LocationsKey[Site Name], LocationsKey[Waterway])</f>
        <v>Stour</v>
      </c>
      <c r="K203" t="s">
        <v>151</v>
      </c>
      <c r="L203">
        <v>52.045651999999997</v>
      </c>
      <c r="M203">
        <v>-1.6719360000000001</v>
      </c>
      <c r="N203" t="s">
        <v>18</v>
      </c>
      <c r="O203">
        <v>556</v>
      </c>
      <c r="P203">
        <v>10.5</v>
      </c>
      <c r="Q203">
        <v>3.5</v>
      </c>
      <c r="R203" s="7" t="str">
        <f>IF(AllDataApr[[#This Row],[Nitrate (PPM)]]&gt;2, "Very high", IF(AllDataApr[[#This Row],[Nitrate (PPM)]]&gt;1, "High", IF(AllDataApr[[#This Row],[Nitrate (PPM)]]&gt;0.5, "Some evidence", IF(AllDataApr[[#This Row],[Nitrate (PPM)]]&gt;0, "No evidence", IF(AllDataApr[[#This Row],[Nitrate (PPM)]]=0, "")))))</f>
        <v>Very high</v>
      </c>
      <c r="S203">
        <v>1.1200000000000001</v>
      </c>
      <c r="T203" s="7" t="str">
        <f>IF(AllDataApr[[#This Row],[Phosphate (PPM)]]&gt;0.5, "Very high", IF(AllDataApr[[#This Row],[Phosphate (PPM)]]&gt;0.1, "High", IF(AllDataApr[[#This Row],[Phosphate (PPM)]]&gt;0.05, "Some evidence", IF(AllDataApr[[#This Row],[Phosphate (PPM)]]=0, ""))))</f>
        <v>Very high</v>
      </c>
      <c r="U203">
        <v>0.3</v>
      </c>
    </row>
    <row r="204" spans="1:22" x14ac:dyDescent="0.3">
      <c r="A204" t="s">
        <v>709</v>
      </c>
      <c r="B204" s="2">
        <v>45250</v>
      </c>
      <c r="C204" s="2" t="str" cm="1">
        <f t="array" ref="C20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04">
        <f>YEAR(AllDataApr[[#This Row],[Date]])</f>
        <v>2023</v>
      </c>
      <c r="E204" s="1">
        <v>0.63194444444444442</v>
      </c>
      <c r="F204" s="2" t="str">
        <f>IF(AND(AllDataApr[[#This Row],[Time]]&lt;0.5, AllDataApr[[#This Row],[Time]]&gt;0.17)=TRUE, "Morning", IF(AND(AllDataApr[[#This Row],[Time]]&lt;0.75, AllDataApr[[#This Row],[Time]]&gt;=0.5)=TRUE, "Afternoon", IF(AND(AllDataApr[[#This Row],[Time]]&lt;1, AllDataApr[[#This Row],[Time]]&gt;=0.75)=TRUE, "Evening", "Night")))</f>
        <v>Afternoon</v>
      </c>
      <c r="G204" t="s">
        <v>20</v>
      </c>
      <c r="H204" t="str">
        <f>_xlfn.XLOOKUP(AllDataApr[[#This Row],[Location Name]], Locations[Row Labels],Locations[Group As])</f>
        <v>Weston-on-Avon</v>
      </c>
      <c r="I204" t="str">
        <f>_xlfn.XLOOKUP(AllDataApr[[#This Row],[Site Name]],LocationsKey[Site Name],LocationsKey[Region])</f>
        <v>Stratford</v>
      </c>
      <c r="J204" t="str">
        <f>_xlfn.XLOOKUP(AllDataApr[[#This Row],[Site Name]],LocationsKey[Site Name], LocationsKey[Waterway])</f>
        <v>Avon</v>
      </c>
      <c r="K204" t="s">
        <v>23</v>
      </c>
      <c r="L204">
        <v>52.167430000000003</v>
      </c>
      <c r="M204">
        <v>-1.7744800000000001</v>
      </c>
      <c r="N204" t="s">
        <v>18</v>
      </c>
      <c r="O204">
        <v>688</v>
      </c>
      <c r="P204">
        <v>11.5</v>
      </c>
      <c r="Q204">
        <v>8</v>
      </c>
      <c r="R204" s="7" t="str">
        <f>IF(AllDataApr[[#This Row],[Nitrate (PPM)]]&gt;2, "Very high", IF(AllDataApr[[#This Row],[Nitrate (PPM)]]&gt;1, "High", IF(AllDataApr[[#This Row],[Nitrate (PPM)]]&gt;0.5, "Some evidence", IF(AllDataApr[[#This Row],[Nitrate (PPM)]]&gt;0, "No evidence", IF(AllDataApr[[#This Row],[Nitrate (PPM)]]=0, "")))))</f>
        <v>Very high</v>
      </c>
      <c r="S204">
        <v>0.4</v>
      </c>
      <c r="T204" s="7" t="str">
        <f>IF(AllDataApr[[#This Row],[Phosphate (PPM)]]&gt;0.5, "Very high", IF(AllDataApr[[#This Row],[Phosphate (PPM)]]&gt;0.1, "High", IF(AllDataApr[[#This Row],[Phosphate (PPM)]]&gt;0.05, "Some evidence", IF(AllDataApr[[#This Row],[Phosphate (PPM)]]=0, ""))))</f>
        <v>High</v>
      </c>
      <c r="U204">
        <v>0</v>
      </c>
    </row>
    <row r="205" spans="1:22" x14ac:dyDescent="0.3">
      <c r="A205" t="s">
        <v>706</v>
      </c>
      <c r="B205" s="2">
        <v>45252</v>
      </c>
      <c r="C205" s="2" t="str" cm="1">
        <f t="array" ref="C20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05">
        <f>YEAR(AllDataApr[[#This Row],[Date]])</f>
        <v>2023</v>
      </c>
      <c r="E205" s="1">
        <v>0.65833333333333333</v>
      </c>
      <c r="F205" s="2" t="str">
        <f>IF(AND(AllDataApr[[#This Row],[Time]]&lt;0.5, AllDataApr[[#This Row],[Time]]&gt;0.17)=TRUE, "Morning", IF(AND(AllDataApr[[#This Row],[Time]]&lt;0.75, AllDataApr[[#This Row],[Time]]&gt;=0.5)=TRUE, "Afternoon", IF(AND(AllDataApr[[#This Row],[Time]]&lt;1, AllDataApr[[#This Row],[Time]]&gt;=0.75)=TRUE, "Evening", "Night")))</f>
        <v>Afternoon</v>
      </c>
      <c r="G205" t="s">
        <v>55</v>
      </c>
      <c r="H205" t="str">
        <f>_xlfn.XLOOKUP(AllDataApr[[#This Row],[Location Name]], Locations[Row Labels],Locations[Group As])</f>
        <v>Stour Newbold Mill</v>
      </c>
      <c r="I205" t="str">
        <f>_xlfn.XLOOKUP(AllDataApr[[#This Row],[Site Name]],LocationsKey[Site Name],LocationsKey[Region])</f>
        <v>Shipston</v>
      </c>
      <c r="J205" t="str">
        <f>_xlfn.XLOOKUP(AllDataApr[[#This Row],[Site Name]],LocationsKey[Site Name], LocationsKey[Waterway])</f>
        <v>Stour</v>
      </c>
      <c r="K205" t="s">
        <v>928</v>
      </c>
      <c r="L205">
        <v>52.113449000000003</v>
      </c>
      <c r="M205">
        <v>-1.63317</v>
      </c>
      <c r="N205" t="s">
        <v>75</v>
      </c>
      <c r="O205">
        <v>661</v>
      </c>
      <c r="P205">
        <v>10.9</v>
      </c>
      <c r="Q205">
        <v>5</v>
      </c>
      <c r="R205" s="7" t="str">
        <f>IF(AllDataApr[[#This Row],[Nitrate (PPM)]]&gt;2, "Very high", IF(AllDataApr[[#This Row],[Nitrate (PPM)]]&gt;1, "High", IF(AllDataApr[[#This Row],[Nitrate (PPM)]]&gt;0.5, "Some evidence", IF(AllDataApr[[#This Row],[Nitrate (PPM)]]&gt;0, "No evidence", IF(AllDataApr[[#This Row],[Nitrate (PPM)]]=0, "")))))</f>
        <v>Very high</v>
      </c>
      <c r="S205">
        <v>0.26</v>
      </c>
      <c r="T205" s="7" t="str">
        <f>IF(AllDataApr[[#This Row],[Phosphate (PPM)]]&gt;0.5, "Very high", IF(AllDataApr[[#This Row],[Phosphate (PPM)]]&gt;0.1, "High", IF(AllDataApr[[#This Row],[Phosphate (PPM)]]&gt;0.05, "Some evidence", IF(AllDataApr[[#This Row],[Phosphate (PPM)]]=0, ""))))</f>
        <v>High</v>
      </c>
      <c r="U205">
        <v>2.5</v>
      </c>
      <c r="V205" t="s">
        <v>1013</v>
      </c>
    </row>
    <row r="206" spans="1:22" x14ac:dyDescent="0.3">
      <c r="A206" t="s">
        <v>705</v>
      </c>
      <c r="B206" s="2">
        <v>45252</v>
      </c>
      <c r="C206" s="2" t="str" cm="1">
        <f t="array" ref="C20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06">
        <f>YEAR(AllDataApr[[#This Row],[Date]])</f>
        <v>2023</v>
      </c>
      <c r="E206" s="1">
        <v>0.66874999999999996</v>
      </c>
      <c r="F206" s="2" t="str">
        <f>IF(AND(AllDataApr[[#This Row],[Time]]&lt;0.5, AllDataApr[[#This Row],[Time]]&gt;0.17)=TRUE, "Morning", IF(AND(AllDataApr[[#This Row],[Time]]&lt;0.75, AllDataApr[[#This Row],[Time]]&gt;=0.5)=TRUE, "Afternoon", IF(AND(AllDataApr[[#This Row],[Time]]&lt;1, AllDataApr[[#This Row],[Time]]&gt;=0.75)=TRUE, "Evening", "Night")))</f>
        <v>Afternoon</v>
      </c>
      <c r="G206" t="s">
        <v>55</v>
      </c>
      <c r="H206" t="str">
        <f>_xlfn.XLOOKUP(AllDataApr[[#This Row],[Location Name]], Locations[Row Labels],Locations[Group As])</f>
        <v>Stour Newbold Mill</v>
      </c>
      <c r="I206" t="str">
        <f>_xlfn.XLOOKUP(AllDataApr[[#This Row],[Site Name]],LocationsKey[Site Name],LocationsKey[Region])</f>
        <v>Shipston</v>
      </c>
      <c r="J206" t="str">
        <f>_xlfn.XLOOKUP(AllDataApr[[#This Row],[Site Name]],LocationsKey[Site Name], LocationsKey[Waterway])</f>
        <v>Stour</v>
      </c>
      <c r="K206" t="s">
        <v>927</v>
      </c>
      <c r="L206">
        <v>52.113517999999999</v>
      </c>
      <c r="M206">
        <v>-1.633165</v>
      </c>
      <c r="N206" t="s">
        <v>1046</v>
      </c>
      <c r="O206">
        <v>670</v>
      </c>
      <c r="P206">
        <v>10.3</v>
      </c>
      <c r="Q206">
        <v>5</v>
      </c>
      <c r="R206" s="7" t="str">
        <f>IF(AllDataApr[[#This Row],[Nitrate (PPM)]]&gt;2, "Very high", IF(AllDataApr[[#This Row],[Nitrate (PPM)]]&gt;1, "High", IF(AllDataApr[[#This Row],[Nitrate (PPM)]]&gt;0.5, "Some evidence", IF(AllDataApr[[#This Row],[Nitrate (PPM)]]&gt;0, "No evidence", IF(AllDataApr[[#This Row],[Nitrate (PPM)]]=0, "")))))</f>
        <v>Very high</v>
      </c>
      <c r="S206">
        <v>0.27</v>
      </c>
      <c r="T206" s="7" t="str">
        <f>IF(AllDataApr[[#This Row],[Phosphate (PPM)]]&gt;0.5, "Very high", IF(AllDataApr[[#This Row],[Phosphate (PPM)]]&gt;0.1, "High", IF(AllDataApr[[#This Row],[Phosphate (PPM)]]&gt;0.05, "Some evidence", IF(AllDataApr[[#This Row],[Phosphate (PPM)]]=0, ""))))</f>
        <v>High</v>
      </c>
      <c r="U206">
        <v>2.5</v>
      </c>
      <c r="V206" t="s">
        <v>1012</v>
      </c>
    </row>
    <row r="207" spans="1:22" x14ac:dyDescent="0.3">
      <c r="A207" t="s">
        <v>702</v>
      </c>
      <c r="B207" s="2">
        <v>45253</v>
      </c>
      <c r="C207" s="2" t="str" cm="1">
        <f t="array" ref="C20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07">
        <f>YEAR(AllDataApr[[#This Row],[Date]])</f>
        <v>2023</v>
      </c>
      <c r="E207" s="1">
        <v>0.41666666666666669</v>
      </c>
      <c r="F207" s="2" t="str">
        <f>IF(AND(AllDataApr[[#This Row],[Time]]&lt;0.5, AllDataApr[[#This Row],[Time]]&gt;0.17)=TRUE, "Morning", IF(AND(AllDataApr[[#This Row],[Time]]&lt;0.75, AllDataApr[[#This Row],[Time]]&gt;=0.5)=TRUE, "Afternoon", IF(AND(AllDataApr[[#This Row],[Time]]&lt;1, AllDataApr[[#This Row],[Time]]&gt;=0.75)=TRUE, "Evening", "Night")))</f>
        <v>Morning</v>
      </c>
      <c r="G207" t="s">
        <v>46</v>
      </c>
      <c r="H207" t="str">
        <f>_xlfn.XLOOKUP(AllDataApr[[#This Row],[Location Name]], Locations[Row Labels],Locations[Group As])</f>
        <v>Swilgate</v>
      </c>
      <c r="I207" t="str">
        <f>_xlfn.XLOOKUP(AllDataApr[[#This Row],[Site Name]],LocationsKey[Site Name],LocationsKey[Region])</f>
        <v>Tewkesbury</v>
      </c>
      <c r="J207" t="str">
        <f>_xlfn.XLOOKUP(AllDataApr[[#This Row],[Site Name]],LocationsKey[Site Name], LocationsKey[Waterway])</f>
        <v>Swilgate</v>
      </c>
      <c r="K207" t="s">
        <v>47</v>
      </c>
      <c r="N207" t="s">
        <v>200</v>
      </c>
      <c r="O207">
        <v>879</v>
      </c>
      <c r="P207">
        <v>12.4</v>
      </c>
      <c r="Q207">
        <v>3</v>
      </c>
      <c r="R207" s="7" t="str">
        <f>IF(AllDataApr[[#This Row],[Nitrate (PPM)]]&gt;2, "Very high", IF(AllDataApr[[#This Row],[Nitrate (PPM)]]&gt;1, "High", IF(AllDataApr[[#This Row],[Nitrate (PPM)]]&gt;0.5, "Some evidence", IF(AllDataApr[[#This Row],[Nitrate (PPM)]]&gt;0, "No evidence", IF(AllDataApr[[#This Row],[Nitrate (PPM)]]=0, "")))))</f>
        <v>Very high</v>
      </c>
      <c r="S207">
        <v>0.5</v>
      </c>
      <c r="T207" s="7" t="str">
        <f>IF(AllDataApr[[#This Row],[Phosphate (PPM)]]&gt;0.5, "Very high", IF(AllDataApr[[#This Row],[Phosphate (PPM)]]&gt;0.1, "High", IF(AllDataApr[[#This Row],[Phosphate (PPM)]]&gt;0.05, "Some evidence", IF(AllDataApr[[#This Row],[Phosphate (PPM)]]=0, ""))))</f>
        <v>High</v>
      </c>
      <c r="U207">
        <v>1</v>
      </c>
    </row>
    <row r="208" spans="1:22" x14ac:dyDescent="0.3">
      <c r="A208" t="s">
        <v>703</v>
      </c>
      <c r="B208" s="2">
        <v>45253</v>
      </c>
      <c r="C208" s="2" t="str" cm="1">
        <f t="array" ref="C20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08">
        <f>YEAR(AllDataApr[[#This Row],[Date]])</f>
        <v>2023</v>
      </c>
      <c r="E208" s="1">
        <v>0.42708333333333331</v>
      </c>
      <c r="F208" s="2" t="str">
        <f>IF(AND(AllDataApr[[#This Row],[Time]]&lt;0.5, AllDataApr[[#This Row],[Time]]&gt;0.17)=TRUE, "Morning", IF(AND(AllDataApr[[#This Row],[Time]]&lt;0.75, AllDataApr[[#This Row],[Time]]&gt;=0.5)=TRUE, "Afternoon", IF(AND(AllDataApr[[#This Row],[Time]]&lt;1, AllDataApr[[#This Row],[Time]]&gt;=0.75)=TRUE, "Evening", "Night")))</f>
        <v>Morning</v>
      </c>
      <c r="G208" t="s">
        <v>156</v>
      </c>
      <c r="H208" t="str">
        <f>_xlfn.XLOOKUP(AllDataApr[[#This Row],[Location Name]], Locations[Row Labels],Locations[Group As])</f>
        <v>Swiffen Bank</v>
      </c>
      <c r="I208" t="str">
        <f>_xlfn.XLOOKUP(AllDataApr[[#This Row],[Site Name]],LocationsKey[Site Name],LocationsKey[Region])</f>
        <v>Stratford</v>
      </c>
      <c r="J208" t="str">
        <f>_xlfn.XLOOKUP(AllDataApr[[#This Row],[Site Name]],LocationsKey[Site Name], LocationsKey[Waterway])</f>
        <v>Avon</v>
      </c>
      <c r="K208" t="s">
        <v>130</v>
      </c>
      <c r="L208">
        <v>52.207673</v>
      </c>
      <c r="M208">
        <v>-1.6584449999999999</v>
      </c>
      <c r="N208" t="s">
        <v>18</v>
      </c>
      <c r="O208">
        <v>635</v>
      </c>
      <c r="P208">
        <v>13</v>
      </c>
      <c r="Q208">
        <v>5</v>
      </c>
      <c r="R208" s="7" t="str">
        <f>IF(AllDataApr[[#This Row],[Nitrate (PPM)]]&gt;2, "Very high", IF(AllDataApr[[#This Row],[Nitrate (PPM)]]&gt;1, "High", IF(AllDataApr[[#This Row],[Nitrate (PPM)]]&gt;0.5, "Some evidence", IF(AllDataApr[[#This Row],[Nitrate (PPM)]]&gt;0, "No evidence", IF(AllDataApr[[#This Row],[Nitrate (PPM)]]=0, "")))))</f>
        <v>Very high</v>
      </c>
      <c r="S208">
        <v>0.49</v>
      </c>
      <c r="T208" s="7" t="str">
        <f>IF(AllDataApr[[#This Row],[Phosphate (PPM)]]&gt;0.5, "Very high", IF(AllDataApr[[#This Row],[Phosphate (PPM)]]&gt;0.1, "High", IF(AllDataApr[[#This Row],[Phosphate (PPM)]]&gt;0.05, "Some evidence", IF(AllDataApr[[#This Row],[Phosphate (PPM)]]=0, ""))))</f>
        <v>High</v>
      </c>
      <c r="U208">
        <v>-1</v>
      </c>
    </row>
    <row r="209" spans="1:22" x14ac:dyDescent="0.3">
      <c r="A209" t="s">
        <v>704</v>
      </c>
      <c r="B209" s="2">
        <v>45253</v>
      </c>
      <c r="C209" s="2" t="str" cm="1">
        <f t="array" ref="C20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09">
        <f>YEAR(AllDataApr[[#This Row],[Date]])</f>
        <v>2023</v>
      </c>
      <c r="E209" s="1">
        <v>0.44583333333333336</v>
      </c>
      <c r="F209" s="2" t="str">
        <f>IF(AND(AllDataApr[[#This Row],[Time]]&lt;0.5, AllDataApr[[#This Row],[Time]]&gt;0.17)=TRUE, "Morning", IF(AND(AllDataApr[[#This Row],[Time]]&lt;0.75, AllDataApr[[#This Row],[Time]]&gt;=0.5)=TRUE, "Afternoon", IF(AND(AllDataApr[[#This Row],[Time]]&lt;1, AllDataApr[[#This Row],[Time]]&gt;=0.75)=TRUE, "Evening", "Night")))</f>
        <v>Morning</v>
      </c>
      <c r="G209" t="s">
        <v>139</v>
      </c>
      <c r="H209" t="str">
        <f>_xlfn.XLOOKUP(AllDataApr[[#This Row],[Location Name]], Locations[Row Labels],Locations[Group As])</f>
        <v>Alveston Weir</v>
      </c>
      <c r="I209" t="str">
        <f>_xlfn.XLOOKUP(AllDataApr[[#This Row],[Site Name]],LocationsKey[Site Name],LocationsKey[Region])</f>
        <v>Stratford</v>
      </c>
      <c r="J209" t="str">
        <f>_xlfn.XLOOKUP(AllDataApr[[#This Row],[Site Name]],LocationsKey[Site Name], LocationsKey[Waterway])</f>
        <v>Avon</v>
      </c>
      <c r="K209" t="s">
        <v>128</v>
      </c>
      <c r="L209">
        <v>52.214275999999998</v>
      </c>
      <c r="M209">
        <v>-1.6601459999999999</v>
      </c>
      <c r="N209" t="s">
        <v>18</v>
      </c>
      <c r="O209">
        <v>653</v>
      </c>
      <c r="P209">
        <v>15.6</v>
      </c>
      <c r="Q209">
        <v>5</v>
      </c>
      <c r="R209" s="7" t="str">
        <f>IF(AllDataApr[[#This Row],[Nitrate (PPM)]]&gt;2, "Very high", IF(AllDataApr[[#This Row],[Nitrate (PPM)]]&gt;1, "High", IF(AllDataApr[[#This Row],[Nitrate (PPM)]]&gt;0.5, "Some evidence", IF(AllDataApr[[#This Row],[Nitrate (PPM)]]&gt;0, "No evidence", IF(AllDataApr[[#This Row],[Nitrate (PPM)]]=0, "")))))</f>
        <v>Very high</v>
      </c>
      <c r="S209">
        <v>0.38</v>
      </c>
      <c r="T209" s="7" t="str">
        <f>IF(AllDataApr[[#This Row],[Phosphate (PPM)]]&gt;0.5, "Very high", IF(AllDataApr[[#This Row],[Phosphate (PPM)]]&gt;0.1, "High", IF(AllDataApr[[#This Row],[Phosphate (PPM)]]&gt;0.05, "Some evidence", IF(AllDataApr[[#This Row],[Phosphate (PPM)]]=0, ""))))</f>
        <v>High</v>
      </c>
      <c r="U209">
        <v>0</v>
      </c>
      <c r="V209" t="s">
        <v>159</v>
      </c>
    </row>
    <row r="210" spans="1:22" x14ac:dyDescent="0.3">
      <c r="A210" t="s">
        <v>700</v>
      </c>
      <c r="B210" s="2">
        <v>45255</v>
      </c>
      <c r="C210" s="2" t="str" cm="1">
        <f t="array" ref="C21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10">
        <f>YEAR(AllDataApr[[#This Row],[Date]])</f>
        <v>2023</v>
      </c>
      <c r="E210" s="1">
        <v>7.9861111111111105E-2</v>
      </c>
      <c r="F210" s="2" t="str">
        <f>IF(AND(AllDataApr[[#This Row],[Time]]&lt;0.5, AllDataApr[[#This Row],[Time]]&gt;0.17)=TRUE, "Morning", IF(AND(AllDataApr[[#This Row],[Time]]&lt;0.75, AllDataApr[[#This Row],[Time]]&gt;=0.5)=TRUE, "Afternoon", IF(AND(AllDataApr[[#This Row],[Time]]&lt;1, AllDataApr[[#This Row],[Time]]&gt;=0.75)=TRUE, "Evening", "Night")))</f>
        <v>Night</v>
      </c>
      <c r="G210" t="s">
        <v>48</v>
      </c>
      <c r="H210" t="str">
        <f>_xlfn.XLOOKUP(AllDataApr[[#This Row],[Location Name]], Locations[Row Labels],Locations[Group As])</f>
        <v>Pitch 16</v>
      </c>
      <c r="I210" t="str">
        <f>_xlfn.XLOOKUP(AllDataApr[[#This Row],[Site Name]],LocationsKey[Site Name],LocationsKey[Region])</f>
        <v>Stratford</v>
      </c>
      <c r="J210" t="str">
        <f>_xlfn.XLOOKUP(AllDataApr[[#This Row],[Site Name]],LocationsKey[Site Name], LocationsKey[Waterway])</f>
        <v>Avon</v>
      </c>
      <c r="K210" t="s">
        <v>39</v>
      </c>
      <c r="N210" t="s">
        <v>18</v>
      </c>
      <c r="O210">
        <v>894</v>
      </c>
      <c r="P210">
        <v>9.3000000000000007</v>
      </c>
      <c r="Q210">
        <v>10</v>
      </c>
      <c r="R210" s="7" t="str">
        <f>IF(AllDataApr[[#This Row],[Nitrate (PPM)]]&gt;2, "Very high", IF(AllDataApr[[#This Row],[Nitrate (PPM)]]&gt;1, "High", IF(AllDataApr[[#This Row],[Nitrate (PPM)]]&gt;0.5, "Some evidence", IF(AllDataApr[[#This Row],[Nitrate (PPM)]]&gt;0, "No evidence", IF(AllDataApr[[#This Row],[Nitrate (PPM)]]=0, "")))))</f>
        <v>Very high</v>
      </c>
      <c r="S210">
        <v>0.46</v>
      </c>
      <c r="T210" s="7" t="str">
        <f>IF(AllDataApr[[#This Row],[Phosphate (PPM)]]&gt;0.5, "Very high", IF(AllDataApr[[#This Row],[Phosphate (PPM)]]&gt;0.1, "High", IF(AllDataApr[[#This Row],[Phosphate (PPM)]]&gt;0.05, "Some evidence", IF(AllDataApr[[#This Row],[Phosphate (PPM)]]=0, ""))))</f>
        <v>High</v>
      </c>
      <c r="U210">
        <v>1</v>
      </c>
    </row>
    <row r="211" spans="1:22" x14ac:dyDescent="0.3">
      <c r="A211" t="s">
        <v>701</v>
      </c>
      <c r="B211" s="2">
        <v>45255</v>
      </c>
      <c r="C211" s="2" t="str" cm="1">
        <f t="array" ref="C21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11">
        <f>YEAR(AllDataApr[[#This Row],[Date]])</f>
        <v>2023</v>
      </c>
      <c r="E211" s="1">
        <v>0.48541666666666666</v>
      </c>
      <c r="F211" s="2" t="str">
        <f>IF(AND(AllDataApr[[#This Row],[Time]]&lt;0.5, AllDataApr[[#This Row],[Time]]&gt;0.17)=TRUE, "Morning", IF(AND(AllDataApr[[#This Row],[Time]]&lt;0.75, AllDataApr[[#This Row],[Time]]&gt;=0.5)=TRUE, "Afternoon", IF(AND(AllDataApr[[#This Row],[Time]]&lt;1, AllDataApr[[#This Row],[Time]]&gt;=0.75)=TRUE, "Evening", "Night")))</f>
        <v>Morning</v>
      </c>
      <c r="G211" t="s">
        <v>11</v>
      </c>
      <c r="H211" t="str">
        <f>_xlfn.XLOOKUP(AllDataApr[[#This Row],[Location Name]], Locations[Row Labels],Locations[Group As])</f>
        <v>Abbey Mill</v>
      </c>
      <c r="I211" t="str">
        <f>_xlfn.XLOOKUP(AllDataApr[[#This Row],[Site Name]],LocationsKey[Site Name],LocationsKey[Region])</f>
        <v>Tewkesbury</v>
      </c>
      <c r="J211" t="str">
        <f>_xlfn.XLOOKUP(AllDataApr[[#This Row],[Site Name]],LocationsKey[Site Name], LocationsKey[Waterway])</f>
        <v>Avon</v>
      </c>
      <c r="K211" t="s">
        <v>12</v>
      </c>
      <c r="L211">
        <v>51.991453</v>
      </c>
      <c r="M211">
        <v>-2.1629679999999998</v>
      </c>
      <c r="N211" t="s">
        <v>200</v>
      </c>
      <c r="O211">
        <v>773</v>
      </c>
      <c r="P211">
        <v>9.6999999999999993</v>
      </c>
      <c r="Q211">
        <v>4</v>
      </c>
      <c r="R211" s="7" t="str">
        <f>IF(AllDataApr[[#This Row],[Nitrate (PPM)]]&gt;2, "Very high", IF(AllDataApr[[#This Row],[Nitrate (PPM)]]&gt;1, "High", IF(AllDataApr[[#This Row],[Nitrate (PPM)]]&gt;0.5, "Some evidence", IF(AllDataApr[[#This Row],[Nitrate (PPM)]]&gt;0, "No evidence", IF(AllDataApr[[#This Row],[Nitrate (PPM)]]=0, "")))))</f>
        <v>Very high</v>
      </c>
      <c r="S211">
        <v>0.7</v>
      </c>
      <c r="T211" s="7" t="str">
        <f>IF(AllDataApr[[#This Row],[Phosphate (PPM)]]&gt;0.5, "Very high", IF(AllDataApr[[#This Row],[Phosphate (PPM)]]&gt;0.1, "High", IF(AllDataApr[[#This Row],[Phosphate (PPM)]]&gt;0.05, "Some evidence", IF(AllDataApr[[#This Row],[Phosphate (PPM)]]=0, ""))))</f>
        <v>Very high</v>
      </c>
      <c r="U211">
        <v>0</v>
      </c>
    </row>
    <row r="212" spans="1:22" x14ac:dyDescent="0.3">
      <c r="A212" t="s">
        <v>697</v>
      </c>
      <c r="B212" s="2">
        <v>45255</v>
      </c>
      <c r="C212" s="2" t="str" cm="1">
        <f t="array" ref="C21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12">
        <f>YEAR(AllDataApr[[#This Row],[Date]])</f>
        <v>2023</v>
      </c>
      <c r="E212" s="1">
        <v>0.5</v>
      </c>
      <c r="F212" s="2" t="str">
        <f>IF(AND(AllDataApr[[#This Row],[Time]]&lt;0.5, AllDataApr[[#This Row],[Time]]&gt;0.17)=TRUE, "Morning", IF(AND(AllDataApr[[#This Row],[Time]]&lt;0.75, AllDataApr[[#This Row],[Time]]&gt;=0.5)=TRUE, "Afternoon", IF(AND(AllDataApr[[#This Row],[Time]]&lt;1, AllDataApr[[#This Row],[Time]]&gt;=0.75)=TRUE, "Evening", "Night")))</f>
        <v>Afternoon</v>
      </c>
      <c r="G212" t="s">
        <v>52</v>
      </c>
      <c r="H212" t="str">
        <f>_xlfn.XLOOKUP(AllDataApr[[#This Row],[Location Name]], Locations[Row Labels],Locations[Group As])</f>
        <v>Carrant Bredon Rd</v>
      </c>
      <c r="I212" t="str">
        <f>_xlfn.XLOOKUP(AllDataApr[[#This Row],[Site Name]],LocationsKey[Site Name],LocationsKey[Region])</f>
        <v>Tewkesbury</v>
      </c>
      <c r="J212" t="str">
        <f>_xlfn.XLOOKUP(AllDataApr[[#This Row],[Site Name]],LocationsKey[Site Name], LocationsKey[Waterway])</f>
        <v>Carrant</v>
      </c>
      <c r="K212" t="s">
        <v>53</v>
      </c>
      <c r="N212" t="s">
        <v>200</v>
      </c>
      <c r="O212">
        <v>709</v>
      </c>
      <c r="P212">
        <v>8.5</v>
      </c>
      <c r="Q212">
        <v>5</v>
      </c>
      <c r="R212" s="7" t="str">
        <f>IF(AllDataApr[[#This Row],[Nitrate (PPM)]]&gt;2, "Very high", IF(AllDataApr[[#This Row],[Nitrate (PPM)]]&gt;1, "High", IF(AllDataApr[[#This Row],[Nitrate (PPM)]]&gt;0.5, "Some evidence", IF(AllDataApr[[#This Row],[Nitrate (PPM)]]&gt;0, "No evidence", IF(AllDataApr[[#This Row],[Nitrate (PPM)]]=0, "")))))</f>
        <v>Very high</v>
      </c>
      <c r="S212">
        <v>0.35</v>
      </c>
      <c r="T212" s="7" t="str">
        <f>IF(AllDataApr[[#This Row],[Phosphate (PPM)]]&gt;0.5, "Very high", IF(AllDataApr[[#This Row],[Phosphate (PPM)]]&gt;0.1, "High", IF(AllDataApr[[#This Row],[Phosphate (PPM)]]&gt;0.05, "Some evidence", IF(AllDataApr[[#This Row],[Phosphate (PPM)]]=0, ""))))</f>
        <v>High</v>
      </c>
      <c r="U212">
        <v>0</v>
      </c>
    </row>
    <row r="213" spans="1:22" x14ac:dyDescent="0.3">
      <c r="A213" t="s">
        <v>694</v>
      </c>
      <c r="B213" s="2">
        <v>45256</v>
      </c>
      <c r="C213" s="2" t="str" cm="1">
        <f t="array" ref="C21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13">
        <f>YEAR(AllDataApr[[#This Row],[Date]])</f>
        <v>2023</v>
      </c>
      <c r="E213" s="1">
        <v>4.1666666666666664E-2</v>
      </c>
      <c r="F213" s="2" t="str">
        <f>IF(AND(AllDataApr[[#This Row],[Time]]&lt;0.5, AllDataApr[[#This Row],[Time]]&gt;0.17)=TRUE, "Morning", IF(AND(AllDataApr[[#This Row],[Time]]&lt;0.75, AllDataApr[[#This Row],[Time]]&gt;=0.5)=TRUE, "Afternoon", IF(AND(AllDataApr[[#This Row],[Time]]&lt;1, AllDataApr[[#This Row],[Time]]&gt;=0.75)=TRUE, "Evening", "Night")))</f>
        <v>Night</v>
      </c>
      <c r="G213" t="s">
        <v>95</v>
      </c>
      <c r="H213" t="str">
        <f>_xlfn.XLOOKUP(AllDataApr[[#This Row],[Location Name]], Locations[Row Labels],Locations[Group As])</f>
        <v>Hampton Lucy</v>
      </c>
      <c r="I213" t="str">
        <f>_xlfn.XLOOKUP(AllDataApr[[#This Row],[Site Name]],LocationsKey[Site Name],LocationsKey[Region])</f>
        <v>Stratford</v>
      </c>
      <c r="J213" t="str">
        <f>_xlfn.XLOOKUP(AllDataApr[[#This Row],[Site Name]],LocationsKey[Site Name], LocationsKey[Waterway])</f>
        <v>Avon</v>
      </c>
      <c r="K213" t="s">
        <v>27</v>
      </c>
      <c r="L213">
        <v>52.211680000000001</v>
      </c>
      <c r="M213">
        <v>-1.6244400000000001</v>
      </c>
      <c r="N213" t="s">
        <v>200</v>
      </c>
      <c r="O213">
        <v>880</v>
      </c>
      <c r="P213">
        <v>7.7</v>
      </c>
      <c r="Q213">
        <v>5</v>
      </c>
      <c r="R213" s="7" t="str">
        <f>IF(AllDataApr[[#This Row],[Nitrate (PPM)]]&gt;2, "Very high", IF(AllDataApr[[#This Row],[Nitrate (PPM)]]&gt;1, "High", IF(AllDataApr[[#This Row],[Nitrate (PPM)]]&gt;0.5, "Some evidence", IF(AllDataApr[[#This Row],[Nitrate (PPM)]]&gt;0, "No evidence", IF(AllDataApr[[#This Row],[Nitrate (PPM)]]=0, "")))))</f>
        <v>Very high</v>
      </c>
      <c r="S213">
        <v>0.54</v>
      </c>
      <c r="T213" s="7" t="str">
        <f>IF(AllDataApr[[#This Row],[Phosphate (PPM)]]&gt;0.5, "Very high", IF(AllDataApr[[#This Row],[Phosphate (PPM)]]&gt;0.1, "High", IF(AllDataApr[[#This Row],[Phosphate (PPM)]]&gt;0.05, "Some evidence", IF(AllDataApr[[#This Row],[Phosphate (PPM)]]=0, ""))))</f>
        <v>Very high</v>
      </c>
      <c r="U213">
        <v>0</v>
      </c>
    </row>
    <row r="214" spans="1:22" x14ac:dyDescent="0.3">
      <c r="A214" t="s">
        <v>695</v>
      </c>
      <c r="B214" s="2">
        <v>45256</v>
      </c>
      <c r="C214" s="2" t="str" cm="1">
        <f t="array" ref="C21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14">
        <f>YEAR(AllDataApr[[#This Row],[Date]])</f>
        <v>2023</v>
      </c>
      <c r="E214" s="1">
        <v>0.5</v>
      </c>
      <c r="F214" s="2" t="str">
        <f>IF(AND(AllDataApr[[#This Row],[Time]]&lt;0.5, AllDataApr[[#This Row],[Time]]&gt;0.17)=TRUE, "Morning", IF(AND(AllDataApr[[#This Row],[Time]]&lt;0.75, AllDataApr[[#This Row],[Time]]&gt;=0.5)=TRUE, "Afternoon", IF(AND(AllDataApr[[#This Row],[Time]]&lt;1, AllDataApr[[#This Row],[Time]]&gt;=0.75)=TRUE, "Evening", "Night")))</f>
        <v>Afternoon</v>
      </c>
      <c r="G214" t="s">
        <v>20</v>
      </c>
      <c r="H214" t="str">
        <f>_xlfn.XLOOKUP(AllDataApr[[#This Row],[Location Name]], Locations[Row Labels],Locations[Group As])</f>
        <v>Hampton Wood</v>
      </c>
      <c r="I214" t="str">
        <f>_xlfn.XLOOKUP(AllDataApr[[#This Row],[Site Name]],LocationsKey[Site Name],LocationsKey[Region])</f>
        <v>Stratford</v>
      </c>
      <c r="J214" t="str">
        <f>_xlfn.XLOOKUP(AllDataApr[[#This Row],[Site Name]],LocationsKey[Site Name], LocationsKey[Waterway])</f>
        <v>Avon</v>
      </c>
      <c r="K214" t="s">
        <v>25</v>
      </c>
      <c r="L214">
        <v>52.238149999999997</v>
      </c>
      <c r="M214">
        <v>-1.6245799999999999</v>
      </c>
      <c r="N214" t="s">
        <v>18</v>
      </c>
      <c r="O214">
        <v>870</v>
      </c>
      <c r="P214">
        <v>7.6</v>
      </c>
      <c r="Q214">
        <v>8</v>
      </c>
      <c r="R214" s="7" t="str">
        <f>IF(AllDataApr[[#This Row],[Nitrate (PPM)]]&gt;2, "Very high", IF(AllDataApr[[#This Row],[Nitrate (PPM)]]&gt;1, "High", IF(AllDataApr[[#This Row],[Nitrate (PPM)]]&gt;0.5, "Some evidence", IF(AllDataApr[[#This Row],[Nitrate (PPM)]]&gt;0, "No evidence", IF(AllDataApr[[#This Row],[Nitrate (PPM)]]=0, "")))))</f>
        <v>Very high</v>
      </c>
      <c r="S214">
        <v>0.81</v>
      </c>
      <c r="T214" s="7" t="str">
        <f>IF(AllDataApr[[#This Row],[Phosphate (PPM)]]&gt;0.5, "Very high", IF(AllDataApr[[#This Row],[Phosphate (PPM)]]&gt;0.1, "High", IF(AllDataApr[[#This Row],[Phosphate (PPM)]]&gt;0.05, "Some evidence", IF(AllDataApr[[#This Row],[Phosphate (PPM)]]=0, ""))))</f>
        <v>Very high</v>
      </c>
      <c r="U214">
        <v>0</v>
      </c>
    </row>
    <row r="215" spans="1:22" x14ac:dyDescent="0.3">
      <c r="A215" t="s">
        <v>688</v>
      </c>
      <c r="B215" s="2">
        <v>45256</v>
      </c>
      <c r="C215" s="2" t="str" cm="1">
        <f t="array" ref="C21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15">
        <f>YEAR(AllDataApr[[#This Row],[Date]])</f>
        <v>2023</v>
      </c>
      <c r="E215" s="1">
        <v>0.54166666666666663</v>
      </c>
      <c r="F215" s="2" t="str">
        <f>IF(AND(AllDataApr[[#This Row],[Time]]&lt;0.5, AllDataApr[[#This Row],[Time]]&gt;0.17)=TRUE, "Morning", IF(AND(AllDataApr[[#This Row],[Time]]&lt;0.75, AllDataApr[[#This Row],[Time]]&gt;=0.5)=TRUE, "Afternoon", IF(AND(AllDataApr[[#This Row],[Time]]&lt;1, AllDataApr[[#This Row],[Time]]&gt;=0.75)=TRUE, "Evening", "Night")))</f>
        <v>Afternoon</v>
      </c>
      <c r="G215" t="s">
        <v>112</v>
      </c>
      <c r="H215" t="str">
        <f>_xlfn.XLOOKUP(AllDataApr[[#This Row],[Location Name]], Locations[Row Labels],Locations[Group As])</f>
        <v>Clifford Chambers Mill Bridge</v>
      </c>
      <c r="I215" t="str">
        <f>_xlfn.XLOOKUP(AllDataApr[[#This Row],[Site Name]],LocationsKey[Site Name],LocationsKey[Region])</f>
        <v>Stratford</v>
      </c>
      <c r="J215" t="str">
        <f>_xlfn.XLOOKUP(AllDataApr[[#This Row],[Site Name]],LocationsKey[Site Name], LocationsKey[Waterway])</f>
        <v>Stour</v>
      </c>
      <c r="K215" t="s">
        <v>119</v>
      </c>
      <c r="L215">
        <v>52.166370000000001</v>
      </c>
      <c r="M215">
        <v>-1.708032</v>
      </c>
      <c r="N215" t="s">
        <v>1047</v>
      </c>
      <c r="O215">
        <v>704</v>
      </c>
      <c r="P215">
        <v>6.2</v>
      </c>
      <c r="Q215">
        <v>7</v>
      </c>
      <c r="R215" s="7" t="str">
        <f>IF(AllDataApr[[#This Row],[Nitrate (PPM)]]&gt;2, "Very high", IF(AllDataApr[[#This Row],[Nitrate (PPM)]]&gt;1, "High", IF(AllDataApr[[#This Row],[Nitrate (PPM)]]&gt;0.5, "Some evidence", IF(AllDataApr[[#This Row],[Nitrate (PPM)]]&gt;0, "No evidence", IF(AllDataApr[[#This Row],[Nitrate (PPM)]]=0, "")))))</f>
        <v>Very high</v>
      </c>
      <c r="S215">
        <v>0.27</v>
      </c>
      <c r="T215" s="7" t="str">
        <f>IF(AllDataApr[[#This Row],[Phosphate (PPM)]]&gt;0.5, "Very high", IF(AllDataApr[[#This Row],[Phosphate (PPM)]]&gt;0.1, "High", IF(AllDataApr[[#This Row],[Phosphate (PPM)]]&gt;0.05, "Some evidence", IF(AllDataApr[[#This Row],[Phosphate (PPM)]]=0, ""))))</f>
        <v>High</v>
      </c>
      <c r="U215">
        <v>0.7</v>
      </c>
    </row>
    <row r="216" spans="1:22" x14ac:dyDescent="0.3">
      <c r="A216" t="s">
        <v>692</v>
      </c>
      <c r="B216" s="2">
        <v>45256</v>
      </c>
      <c r="C216" s="2" t="str" cm="1">
        <f t="array" ref="C21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16">
        <f>YEAR(AllDataApr[[#This Row],[Date]])</f>
        <v>2023</v>
      </c>
      <c r="E216" s="1">
        <v>0.63541666666666663</v>
      </c>
      <c r="F216" s="2" t="str">
        <f>IF(AND(AllDataApr[[#This Row],[Time]]&lt;0.5, AllDataApr[[#This Row],[Time]]&gt;0.17)=TRUE, "Morning", IF(AND(AllDataApr[[#This Row],[Time]]&lt;0.75, AllDataApr[[#This Row],[Time]]&gt;=0.5)=TRUE, "Afternoon", IF(AND(AllDataApr[[#This Row],[Time]]&lt;1, AllDataApr[[#This Row],[Time]]&gt;=0.75)=TRUE, "Evening", "Night")))</f>
        <v>Afternoon</v>
      </c>
      <c r="G216" t="s">
        <v>100</v>
      </c>
      <c r="H216" t="str">
        <f>_xlfn.XLOOKUP(AllDataApr[[#This Row],[Location Name]], Locations[Row Labels],Locations[Group As])</f>
        <v>Barton</v>
      </c>
      <c r="I216" t="str">
        <f>_xlfn.XLOOKUP(AllDataApr[[#This Row],[Site Name]],LocationsKey[Site Name],LocationsKey[Region])</f>
        <v>Stratford</v>
      </c>
      <c r="J216" t="str">
        <f>_xlfn.XLOOKUP(AllDataApr[[#This Row],[Site Name]],LocationsKey[Site Name], LocationsKey[Waterway])</f>
        <v>Avon</v>
      </c>
      <c r="K216" t="s">
        <v>29</v>
      </c>
      <c r="L216">
        <v>52.161209999999997</v>
      </c>
      <c r="M216">
        <v>-1.8301499999999999</v>
      </c>
      <c r="N216" t="s">
        <v>18</v>
      </c>
      <c r="O216">
        <v>868</v>
      </c>
      <c r="P216">
        <v>7.1</v>
      </c>
      <c r="Q216">
        <v>7</v>
      </c>
      <c r="R216" s="7" t="str">
        <f>IF(AllDataApr[[#This Row],[Nitrate (PPM)]]&gt;2, "Very high", IF(AllDataApr[[#This Row],[Nitrate (PPM)]]&gt;1, "High", IF(AllDataApr[[#This Row],[Nitrate (PPM)]]&gt;0.5, "Some evidence", IF(AllDataApr[[#This Row],[Nitrate (PPM)]]&gt;0, "No evidence", IF(AllDataApr[[#This Row],[Nitrate (PPM)]]=0, "")))))</f>
        <v>Very high</v>
      </c>
      <c r="S216">
        <v>0.67</v>
      </c>
      <c r="T216" s="7" t="str">
        <f>IF(AllDataApr[[#This Row],[Phosphate (PPM)]]&gt;0.5, "Very high", IF(AllDataApr[[#This Row],[Phosphate (PPM)]]&gt;0.1, "High", IF(AllDataApr[[#This Row],[Phosphate (PPM)]]&gt;0.05, "Some evidence", IF(AllDataApr[[#This Row],[Phosphate (PPM)]]=0, ""))))</f>
        <v>Very high</v>
      </c>
      <c r="U216">
        <v>0</v>
      </c>
    </row>
    <row r="217" spans="1:22" x14ac:dyDescent="0.3">
      <c r="A217" t="s">
        <v>693</v>
      </c>
      <c r="B217" s="2">
        <v>45256</v>
      </c>
      <c r="C217" s="2" t="str" cm="1">
        <f t="array" ref="C21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17">
        <f>YEAR(AllDataApr[[#This Row],[Date]])</f>
        <v>2023</v>
      </c>
      <c r="E217" s="1">
        <v>0.6875</v>
      </c>
      <c r="F217" s="2" t="str">
        <f>IF(AND(AllDataApr[[#This Row],[Time]]&lt;0.5, AllDataApr[[#This Row],[Time]]&gt;0.17)=TRUE, "Morning", IF(AND(AllDataApr[[#This Row],[Time]]&lt;0.75, AllDataApr[[#This Row],[Time]]&gt;=0.5)=TRUE, "Afternoon", IF(AND(AllDataApr[[#This Row],[Time]]&lt;1, AllDataApr[[#This Row],[Time]]&gt;=0.75)=TRUE, "Evening", "Night")))</f>
        <v>Afternoon</v>
      </c>
      <c r="G217" t="s">
        <v>35</v>
      </c>
      <c r="H217" t="str">
        <f>_xlfn.XLOOKUP(AllDataApr[[#This Row],[Location Name]], Locations[Row Labels],Locations[Group As])</f>
        <v>Welford Boat Station</v>
      </c>
      <c r="I217" t="str">
        <f>_xlfn.XLOOKUP(AllDataApr[[#This Row],[Site Name]],LocationsKey[Site Name],LocationsKey[Region])</f>
        <v>Stratford</v>
      </c>
      <c r="J217" t="str">
        <f>_xlfn.XLOOKUP(AllDataApr[[#This Row],[Site Name]],LocationsKey[Site Name], LocationsKey[Waterway])</f>
        <v>Avon</v>
      </c>
      <c r="K217" t="s">
        <v>22</v>
      </c>
      <c r="L217">
        <v>52.175240000000002</v>
      </c>
      <c r="M217">
        <v>-1.7918700000000001</v>
      </c>
      <c r="N217" t="s">
        <v>18</v>
      </c>
      <c r="O217">
        <v>876</v>
      </c>
      <c r="P217">
        <v>8.3000000000000007</v>
      </c>
      <c r="Q217">
        <v>20</v>
      </c>
      <c r="R217" s="7" t="str">
        <f>IF(AllDataApr[[#This Row],[Nitrate (PPM)]]&gt;2, "Very high", IF(AllDataApr[[#This Row],[Nitrate (PPM)]]&gt;1, "High", IF(AllDataApr[[#This Row],[Nitrate (PPM)]]&gt;0.5, "Some evidence", IF(AllDataApr[[#This Row],[Nitrate (PPM)]]&gt;0, "No evidence", IF(AllDataApr[[#This Row],[Nitrate (PPM)]]=0, "")))))</f>
        <v>Very high</v>
      </c>
      <c r="S217">
        <v>0.5</v>
      </c>
      <c r="T217" s="7" t="str">
        <f>IF(AllDataApr[[#This Row],[Phosphate (PPM)]]&gt;0.5, "Very high", IF(AllDataApr[[#This Row],[Phosphate (PPM)]]&gt;0.1, "High", IF(AllDataApr[[#This Row],[Phosphate (PPM)]]&gt;0.05, "Some evidence", IF(AllDataApr[[#This Row],[Phosphate (PPM)]]=0, ""))))</f>
        <v>High</v>
      </c>
      <c r="U217">
        <v>0</v>
      </c>
      <c r="V217" t="s">
        <v>160</v>
      </c>
    </row>
    <row r="218" spans="1:22" x14ac:dyDescent="0.3">
      <c r="A218" t="s">
        <v>699</v>
      </c>
      <c r="B218" s="2">
        <v>45257</v>
      </c>
      <c r="C218" s="2" t="str" cm="1">
        <f t="array" ref="C21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18">
        <f>YEAR(AllDataApr[[#This Row],[Date]])</f>
        <v>2023</v>
      </c>
      <c r="E218" s="1">
        <v>0.40833333333333333</v>
      </c>
      <c r="F218" s="2" t="str">
        <f>IF(AND(AllDataApr[[#This Row],[Time]]&lt;0.5, AllDataApr[[#This Row],[Time]]&gt;0.17)=TRUE, "Morning", IF(AND(AllDataApr[[#This Row],[Time]]&lt;0.75, AllDataApr[[#This Row],[Time]]&gt;=0.5)=TRUE, "Afternoon", IF(AND(AllDataApr[[#This Row],[Time]]&lt;1, AllDataApr[[#This Row],[Time]]&gt;=0.75)=TRUE, "Evening", "Night")))</f>
        <v>Morning</v>
      </c>
      <c r="G218" t="s">
        <v>150</v>
      </c>
      <c r="H218" t="str">
        <f>_xlfn.XLOOKUP(AllDataApr[[#This Row],[Location Name]], Locations[Row Labels],Locations[Group As])</f>
        <v>Stour Stretton-on-Fosse Village</v>
      </c>
      <c r="I218" t="str">
        <f>_xlfn.XLOOKUP(AllDataApr[[#This Row],[Site Name]],LocationsKey[Site Name],LocationsKey[Region])</f>
        <v>Shipston</v>
      </c>
      <c r="J218" t="str">
        <f>_xlfn.XLOOKUP(AllDataApr[[#This Row],[Site Name]],LocationsKey[Site Name], LocationsKey[Waterway])</f>
        <v>Stour</v>
      </c>
      <c r="K218" t="s">
        <v>161</v>
      </c>
      <c r="L218">
        <v>52.046472000000001</v>
      </c>
      <c r="M218">
        <v>-1.673438</v>
      </c>
      <c r="N218" t="s">
        <v>42</v>
      </c>
      <c r="O218">
        <v>668</v>
      </c>
      <c r="P218">
        <v>9.3000000000000007</v>
      </c>
      <c r="Q218">
        <v>2</v>
      </c>
      <c r="R218" s="7" t="str">
        <f>IF(AllDataApr[[#This Row],[Nitrate (PPM)]]&gt;2, "Very high", IF(AllDataApr[[#This Row],[Nitrate (PPM)]]&gt;1, "High", IF(AllDataApr[[#This Row],[Nitrate (PPM)]]&gt;0.5, "Some evidence", IF(AllDataApr[[#This Row],[Nitrate (PPM)]]&gt;0, "No evidence", IF(AllDataApr[[#This Row],[Nitrate (PPM)]]=0, "")))))</f>
        <v>High</v>
      </c>
      <c r="S218">
        <v>0.93</v>
      </c>
      <c r="T218" s="7" t="str">
        <f>IF(AllDataApr[[#This Row],[Phosphate (PPM)]]&gt;0.5, "Very high", IF(AllDataApr[[#This Row],[Phosphate (PPM)]]&gt;0.1, "High", IF(AllDataApr[[#This Row],[Phosphate (PPM)]]&gt;0.05, "Some evidence", IF(AllDataApr[[#This Row],[Phosphate (PPM)]]=0, ""))))</f>
        <v>Very high</v>
      </c>
      <c r="U218">
        <v>0.2</v>
      </c>
    </row>
    <row r="219" spans="1:22" x14ac:dyDescent="0.3">
      <c r="A219" t="s">
        <v>698</v>
      </c>
      <c r="B219" s="2">
        <v>45257</v>
      </c>
      <c r="C219" s="2" t="str" cm="1">
        <f t="array" ref="C21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19">
        <f>YEAR(AllDataApr[[#This Row],[Date]])</f>
        <v>2023</v>
      </c>
      <c r="E219" s="1">
        <v>0.4201388888888889</v>
      </c>
      <c r="F219" s="2" t="str">
        <f>IF(AND(AllDataApr[[#This Row],[Time]]&lt;0.5, AllDataApr[[#This Row],[Time]]&gt;0.17)=TRUE, "Morning", IF(AND(AllDataApr[[#This Row],[Time]]&lt;0.75, AllDataApr[[#This Row],[Time]]&gt;=0.5)=TRUE, "Afternoon", IF(AND(AllDataApr[[#This Row],[Time]]&lt;1, AllDataApr[[#This Row],[Time]]&gt;=0.75)=TRUE, "Evening", "Night")))</f>
        <v>Morning</v>
      </c>
      <c r="G219" t="s">
        <v>150</v>
      </c>
      <c r="H219" t="str">
        <f>_xlfn.XLOOKUP(AllDataApr[[#This Row],[Location Name]], Locations[Row Labels],Locations[Group As])</f>
        <v>Stour Stretton-on-Fosse Sewage Works</v>
      </c>
      <c r="I219" t="str">
        <f>_xlfn.XLOOKUP(AllDataApr[[#This Row],[Site Name]],LocationsKey[Site Name],LocationsKey[Region])</f>
        <v>Shipston</v>
      </c>
      <c r="J219" t="str">
        <f>_xlfn.XLOOKUP(AllDataApr[[#This Row],[Site Name]],LocationsKey[Site Name], LocationsKey[Waterway])</f>
        <v>Stour</v>
      </c>
      <c r="K219" t="s">
        <v>151</v>
      </c>
      <c r="L219">
        <v>52.045659999999998</v>
      </c>
      <c r="M219">
        <v>-1.671924</v>
      </c>
      <c r="N219" t="s">
        <v>18</v>
      </c>
      <c r="O219">
        <v>703</v>
      </c>
      <c r="P219">
        <v>8.6</v>
      </c>
      <c r="Q219">
        <v>4</v>
      </c>
      <c r="R219" s="7" t="str">
        <f>IF(AllDataApr[[#This Row],[Nitrate (PPM)]]&gt;2, "Very high", IF(AllDataApr[[#This Row],[Nitrate (PPM)]]&gt;1, "High", IF(AllDataApr[[#This Row],[Nitrate (PPM)]]&gt;0.5, "Some evidence", IF(AllDataApr[[#This Row],[Nitrate (PPM)]]&gt;0, "No evidence", IF(AllDataApr[[#This Row],[Nitrate (PPM)]]=0, "")))))</f>
        <v>Very high</v>
      </c>
      <c r="S219">
        <v>2.5</v>
      </c>
      <c r="T219" s="7" t="str">
        <f>IF(AllDataApr[[#This Row],[Phosphate (PPM)]]&gt;0.5, "Very high", IF(AllDataApr[[#This Row],[Phosphate (PPM)]]&gt;0.1, "High", IF(AllDataApr[[#This Row],[Phosphate (PPM)]]&gt;0.05, "Some evidence", IF(AllDataApr[[#This Row],[Phosphate (PPM)]]=0, ""))))</f>
        <v>Very high</v>
      </c>
      <c r="U219">
        <v>0.3</v>
      </c>
    </row>
    <row r="220" spans="1:22" x14ac:dyDescent="0.3">
      <c r="A220" t="s">
        <v>696</v>
      </c>
      <c r="B220" s="2">
        <v>45257</v>
      </c>
      <c r="C220" s="2" t="str" cm="1">
        <f t="array" ref="C22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20">
        <f>YEAR(AllDataApr[[#This Row],[Date]])</f>
        <v>2023</v>
      </c>
      <c r="E220" s="1">
        <v>0.61319444444444449</v>
      </c>
      <c r="F220" s="2" t="str">
        <f>IF(AND(AllDataApr[[#This Row],[Time]]&lt;0.5, AllDataApr[[#This Row],[Time]]&gt;0.17)=TRUE, "Morning", IF(AND(AllDataApr[[#This Row],[Time]]&lt;0.75, AllDataApr[[#This Row],[Time]]&gt;=0.5)=TRUE, "Afternoon", IF(AND(AllDataApr[[#This Row],[Time]]&lt;1, AllDataApr[[#This Row],[Time]]&gt;=0.75)=TRUE, "Evening", "Night")))</f>
        <v>Afternoon</v>
      </c>
      <c r="G220" t="s">
        <v>59</v>
      </c>
      <c r="H220" t="str">
        <f>_xlfn.XLOOKUP(AllDataApr[[#This Row],[Location Name]], Locations[Row Labels],Locations[Group As])</f>
        <v>Preston-on-Stour River Bridge</v>
      </c>
      <c r="I220" t="str">
        <f>_xlfn.XLOOKUP(AllDataApr[[#This Row],[Site Name]],LocationsKey[Site Name],LocationsKey[Region])</f>
        <v>Stratford</v>
      </c>
      <c r="J220" t="str">
        <f>_xlfn.XLOOKUP(AllDataApr[[#This Row],[Site Name]],LocationsKey[Site Name], LocationsKey[Waterway])</f>
        <v>Stour</v>
      </c>
      <c r="K220" t="s">
        <v>78</v>
      </c>
      <c r="N220" t="s">
        <v>18</v>
      </c>
      <c r="O220">
        <v>659</v>
      </c>
      <c r="P220">
        <v>11.1</v>
      </c>
      <c r="Q220">
        <v>5</v>
      </c>
      <c r="R220" s="7" t="str">
        <f>IF(AllDataApr[[#This Row],[Nitrate (PPM)]]&gt;2, "Very high", IF(AllDataApr[[#This Row],[Nitrate (PPM)]]&gt;1, "High", IF(AllDataApr[[#This Row],[Nitrate (PPM)]]&gt;0.5, "Some evidence", IF(AllDataApr[[#This Row],[Nitrate (PPM)]]&gt;0, "No evidence", IF(AllDataApr[[#This Row],[Nitrate (PPM)]]=0, "")))))</f>
        <v>Very high</v>
      </c>
      <c r="S220">
        <v>0.28999999999999998</v>
      </c>
      <c r="T220" s="7" t="str">
        <f>IF(AllDataApr[[#This Row],[Phosphate (PPM)]]&gt;0.5, "Very high", IF(AllDataApr[[#This Row],[Phosphate (PPM)]]&gt;0.1, "High", IF(AllDataApr[[#This Row],[Phosphate (PPM)]]&gt;0.05, "Some evidence", IF(AllDataApr[[#This Row],[Phosphate (PPM)]]=0, ""))))</f>
        <v>High</v>
      </c>
      <c r="U220">
        <v>1.5</v>
      </c>
    </row>
    <row r="221" spans="1:22" x14ac:dyDescent="0.3">
      <c r="A221" t="s">
        <v>691</v>
      </c>
      <c r="B221" s="2">
        <v>45258</v>
      </c>
      <c r="C221" s="2" t="str" cm="1">
        <f t="array" ref="C22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21">
        <f>YEAR(AllDataApr[[#This Row],[Date]])</f>
        <v>2023</v>
      </c>
      <c r="E221" s="1">
        <v>0.64583333333333337</v>
      </c>
      <c r="F221" s="2" t="str">
        <f>IF(AND(AllDataApr[[#This Row],[Time]]&lt;0.5, AllDataApr[[#This Row],[Time]]&gt;0.17)=TRUE, "Morning", IF(AND(AllDataApr[[#This Row],[Time]]&lt;0.75, AllDataApr[[#This Row],[Time]]&gt;=0.5)=TRUE, "Afternoon", IF(AND(AllDataApr[[#This Row],[Time]]&lt;1, AllDataApr[[#This Row],[Time]]&gt;=0.75)=TRUE, "Evening", "Night")))</f>
        <v>Afternoon</v>
      </c>
      <c r="G221" t="s">
        <v>20</v>
      </c>
      <c r="H221" t="str">
        <f>_xlfn.XLOOKUP(AllDataApr[[#This Row],[Location Name]], Locations[Row Labels],Locations[Group As])</f>
        <v>Weston-on-Avon</v>
      </c>
      <c r="I221" t="str">
        <f>_xlfn.XLOOKUP(AllDataApr[[#This Row],[Site Name]],LocationsKey[Site Name],LocationsKey[Region])</f>
        <v>Stratford</v>
      </c>
      <c r="J221" t="str">
        <f>_xlfn.XLOOKUP(AllDataApr[[#This Row],[Site Name]],LocationsKey[Site Name], LocationsKey[Waterway])</f>
        <v>Avon</v>
      </c>
      <c r="K221" t="s">
        <v>23</v>
      </c>
      <c r="L221">
        <v>52.167430000000003</v>
      </c>
      <c r="M221">
        <v>-1.7744800000000001</v>
      </c>
      <c r="N221" t="s">
        <v>18</v>
      </c>
      <c r="O221">
        <v>900</v>
      </c>
      <c r="P221">
        <v>7.4</v>
      </c>
      <c r="Q221">
        <v>12</v>
      </c>
      <c r="R221" s="7" t="str">
        <f>IF(AllDataApr[[#This Row],[Nitrate (PPM)]]&gt;2, "Very high", IF(AllDataApr[[#This Row],[Nitrate (PPM)]]&gt;1, "High", IF(AllDataApr[[#This Row],[Nitrate (PPM)]]&gt;0.5, "Some evidence", IF(AllDataApr[[#This Row],[Nitrate (PPM)]]&gt;0, "No evidence", IF(AllDataApr[[#This Row],[Nitrate (PPM)]]=0, "")))))</f>
        <v>Very high</v>
      </c>
      <c r="S221">
        <v>0.53</v>
      </c>
      <c r="T221" s="7" t="str">
        <f>IF(AllDataApr[[#This Row],[Phosphate (PPM)]]&gt;0.5, "Very high", IF(AllDataApr[[#This Row],[Phosphate (PPM)]]&gt;0.1, "High", IF(AllDataApr[[#This Row],[Phosphate (PPM)]]&gt;0.05, "Some evidence", IF(AllDataApr[[#This Row],[Phosphate (PPM)]]=0, ""))))</f>
        <v>Very high</v>
      </c>
      <c r="U221">
        <v>0</v>
      </c>
    </row>
    <row r="222" spans="1:22" x14ac:dyDescent="0.3">
      <c r="A222" t="s">
        <v>690</v>
      </c>
      <c r="B222" s="2">
        <v>45259</v>
      </c>
      <c r="C222" s="2" t="str" cm="1">
        <f t="array" ref="C22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22">
        <f>YEAR(AllDataApr[[#This Row],[Date]])</f>
        <v>2023</v>
      </c>
      <c r="E222" s="1">
        <v>0.66666666666666663</v>
      </c>
      <c r="F222" s="2" t="str">
        <f>IF(AND(AllDataApr[[#This Row],[Time]]&lt;0.5, AllDataApr[[#This Row],[Time]]&gt;0.17)=TRUE, "Morning", IF(AND(AllDataApr[[#This Row],[Time]]&lt;0.75, AllDataApr[[#This Row],[Time]]&gt;=0.5)=TRUE, "Afternoon", IF(AND(AllDataApr[[#This Row],[Time]]&lt;1, AllDataApr[[#This Row],[Time]]&gt;=0.75)=TRUE, "Evening", "Night")))</f>
        <v>Afternoon</v>
      </c>
      <c r="G222" t="s">
        <v>57</v>
      </c>
      <c r="H222" t="str">
        <f>_xlfn.XLOOKUP(AllDataApr[[#This Row],[Location Name]], Locations[Row Labels],Locations[Group As])</f>
        <v>Stour Newbold Mill</v>
      </c>
      <c r="I222" t="str">
        <f>_xlfn.XLOOKUP(AllDataApr[[#This Row],[Site Name]],LocationsKey[Site Name],LocationsKey[Region])</f>
        <v>Shipston</v>
      </c>
      <c r="J222" t="str">
        <f>_xlfn.XLOOKUP(AllDataApr[[#This Row],[Site Name]],LocationsKey[Site Name], LocationsKey[Waterway])</f>
        <v>Stour</v>
      </c>
      <c r="K222" t="s">
        <v>66</v>
      </c>
      <c r="L222">
        <v>52.112850999999999</v>
      </c>
      <c r="M222">
        <v>-1.633435</v>
      </c>
      <c r="N222" t="s">
        <v>18</v>
      </c>
      <c r="O222">
        <v>667</v>
      </c>
      <c r="P222">
        <v>12</v>
      </c>
      <c r="Q222">
        <v>5</v>
      </c>
      <c r="R222" s="7" t="str">
        <f>IF(AllDataApr[[#This Row],[Nitrate (PPM)]]&gt;2, "Very high", IF(AllDataApr[[#This Row],[Nitrate (PPM)]]&gt;1, "High", IF(AllDataApr[[#This Row],[Nitrate (PPM)]]&gt;0.5, "Some evidence", IF(AllDataApr[[#This Row],[Nitrate (PPM)]]&gt;0, "No evidence", IF(AllDataApr[[#This Row],[Nitrate (PPM)]]=0, "")))))</f>
        <v>Very high</v>
      </c>
      <c r="S222">
        <v>0.2</v>
      </c>
      <c r="T222" s="7" t="str">
        <f>IF(AllDataApr[[#This Row],[Phosphate (PPM)]]&gt;0.5, "Very high", IF(AllDataApr[[#This Row],[Phosphate (PPM)]]&gt;0.1, "High", IF(AllDataApr[[#This Row],[Phosphate (PPM)]]&gt;0.05, "Some evidence", IF(AllDataApr[[#This Row],[Phosphate (PPM)]]=0, ""))))</f>
        <v>High</v>
      </c>
      <c r="U222">
        <v>2.5</v>
      </c>
      <c r="V222" t="s">
        <v>162</v>
      </c>
    </row>
    <row r="223" spans="1:22" x14ac:dyDescent="0.3">
      <c r="A223" t="s">
        <v>689</v>
      </c>
      <c r="B223" s="2">
        <v>45260</v>
      </c>
      <c r="C223" s="2" t="str" cm="1">
        <f t="array" ref="C22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23">
        <f>YEAR(AllDataApr[[#This Row],[Date]])</f>
        <v>2023</v>
      </c>
      <c r="E223" s="1">
        <v>0.54722222222222228</v>
      </c>
      <c r="F223" s="2" t="str">
        <f>IF(AND(AllDataApr[[#This Row],[Time]]&lt;0.5, AllDataApr[[#This Row],[Time]]&gt;0.17)=TRUE, "Morning", IF(AND(AllDataApr[[#This Row],[Time]]&lt;0.75, AllDataApr[[#This Row],[Time]]&gt;=0.5)=TRUE, "Afternoon", IF(AND(AllDataApr[[#This Row],[Time]]&lt;1, AllDataApr[[#This Row],[Time]]&gt;=0.75)=TRUE, "Evening", "Night")))</f>
        <v>Afternoon</v>
      </c>
      <c r="G223" t="s">
        <v>55</v>
      </c>
      <c r="H223" t="str">
        <f>_xlfn.XLOOKUP(AllDataApr[[#This Row],[Location Name]], Locations[Row Labels],Locations[Group As])</f>
        <v>Stour Shipston Mill Bridge</v>
      </c>
      <c r="I223" t="str">
        <f>_xlfn.XLOOKUP(AllDataApr[[#This Row],[Site Name]],LocationsKey[Site Name],LocationsKey[Region])</f>
        <v>Shipston</v>
      </c>
      <c r="J223" t="str">
        <f>_xlfn.XLOOKUP(AllDataApr[[#This Row],[Site Name]],LocationsKey[Site Name], LocationsKey[Waterway])</f>
        <v>Stour</v>
      </c>
      <c r="K223" t="s">
        <v>144</v>
      </c>
      <c r="L223">
        <v>52.061971999999997</v>
      </c>
      <c r="M223">
        <v>-1.6216520000000001</v>
      </c>
      <c r="N223" t="s">
        <v>200</v>
      </c>
      <c r="O223">
        <v>623</v>
      </c>
      <c r="P223">
        <v>6.1</v>
      </c>
      <c r="Q223">
        <v>5</v>
      </c>
      <c r="R223" s="7" t="str">
        <f>IF(AllDataApr[[#This Row],[Nitrate (PPM)]]&gt;2, "Very high", IF(AllDataApr[[#This Row],[Nitrate (PPM)]]&gt;1, "High", IF(AllDataApr[[#This Row],[Nitrate (PPM)]]&gt;0.5, "Some evidence", IF(AllDataApr[[#This Row],[Nitrate (PPM)]]&gt;0, "No evidence", IF(AllDataApr[[#This Row],[Nitrate (PPM)]]=0, "")))))</f>
        <v>Very high</v>
      </c>
      <c r="S223">
        <v>0.24</v>
      </c>
      <c r="T223" s="7" t="str">
        <f>IF(AllDataApr[[#This Row],[Phosphate (PPM)]]&gt;0.5, "Very high", IF(AllDataApr[[#This Row],[Phosphate (PPM)]]&gt;0.1, "High", IF(AllDataApr[[#This Row],[Phosphate (PPM)]]&gt;0.05, "Some evidence", IF(AllDataApr[[#This Row],[Phosphate (PPM)]]=0, ""))))</f>
        <v>High</v>
      </c>
      <c r="U223">
        <v>1</v>
      </c>
    </row>
    <row r="224" spans="1:22" x14ac:dyDescent="0.3">
      <c r="A224" t="s">
        <v>687</v>
      </c>
      <c r="B224" s="2">
        <v>45260</v>
      </c>
      <c r="C224" s="2" t="str" cm="1">
        <f t="array" ref="C22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Autumn</v>
      </c>
      <c r="D224">
        <f>YEAR(AllDataApr[[#This Row],[Date]])</f>
        <v>2023</v>
      </c>
      <c r="E224" s="1">
        <v>0.63541666666666663</v>
      </c>
      <c r="F224" s="2" t="str">
        <f>IF(AND(AllDataApr[[#This Row],[Time]]&lt;0.5, AllDataApr[[#This Row],[Time]]&gt;0.17)=TRUE, "Morning", IF(AND(AllDataApr[[#This Row],[Time]]&lt;0.75, AllDataApr[[#This Row],[Time]]&gt;=0.5)=TRUE, "Afternoon", IF(AND(AllDataApr[[#This Row],[Time]]&lt;1, AllDataApr[[#This Row],[Time]]&gt;=0.75)=TRUE, "Evening", "Night")))</f>
        <v>Afternoon</v>
      </c>
      <c r="G224" t="s">
        <v>46</v>
      </c>
      <c r="H224" t="str">
        <f>_xlfn.XLOOKUP(AllDataApr[[#This Row],[Location Name]], Locations[Row Labels],Locations[Group As])</f>
        <v>Swilgate</v>
      </c>
      <c r="I224" t="str">
        <f>_xlfn.XLOOKUP(AllDataApr[[#This Row],[Site Name]],LocationsKey[Site Name],LocationsKey[Region])</f>
        <v>Tewkesbury</v>
      </c>
      <c r="J224" t="str">
        <f>_xlfn.XLOOKUP(AllDataApr[[#This Row],[Site Name]],LocationsKey[Site Name], LocationsKey[Waterway])</f>
        <v>Swilgate</v>
      </c>
      <c r="K224" t="s">
        <v>47</v>
      </c>
      <c r="N224" t="s">
        <v>200</v>
      </c>
      <c r="O224">
        <v>1006</v>
      </c>
      <c r="P224">
        <v>7.4</v>
      </c>
      <c r="Q224">
        <v>3</v>
      </c>
      <c r="R224" s="7" t="str">
        <f>IF(AllDataApr[[#This Row],[Nitrate (PPM)]]&gt;2, "Very high", IF(AllDataApr[[#This Row],[Nitrate (PPM)]]&gt;1, "High", IF(AllDataApr[[#This Row],[Nitrate (PPM)]]&gt;0.5, "Some evidence", IF(AllDataApr[[#This Row],[Nitrate (PPM)]]&gt;0, "No evidence", IF(AllDataApr[[#This Row],[Nitrate (PPM)]]=0, "")))))</f>
        <v>Very high</v>
      </c>
      <c r="S224">
        <v>0.55000000000000004</v>
      </c>
      <c r="T224" s="7" t="str">
        <f>IF(AllDataApr[[#This Row],[Phosphate (PPM)]]&gt;0.5, "Very high", IF(AllDataApr[[#This Row],[Phosphate (PPM)]]&gt;0.1, "High", IF(AllDataApr[[#This Row],[Phosphate (PPM)]]&gt;0.05, "Some evidence", IF(AllDataApr[[#This Row],[Phosphate (PPM)]]=0, ""))))</f>
        <v>Very high</v>
      </c>
      <c r="U224">
        <v>0</v>
      </c>
    </row>
    <row r="225" spans="1:22" x14ac:dyDescent="0.3">
      <c r="A225" t="s">
        <v>460</v>
      </c>
      <c r="B225" s="2">
        <v>45262</v>
      </c>
      <c r="C225" s="2" t="str" cm="1">
        <f t="array" ref="C22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25">
        <f>YEAR(AllDataApr[[#This Row],[Date]])</f>
        <v>2023</v>
      </c>
      <c r="E225" s="1">
        <v>0.45833333333333331</v>
      </c>
      <c r="F225" s="2" t="str">
        <f>IF(AND(AllDataApr[[#This Row],[Time]]&lt;0.5, AllDataApr[[#This Row],[Time]]&gt;0.17)=TRUE, "Morning", IF(AND(AllDataApr[[#This Row],[Time]]&lt;0.75, AllDataApr[[#This Row],[Time]]&gt;=0.5)=TRUE, "Afternoon", IF(AND(AllDataApr[[#This Row],[Time]]&lt;1, AllDataApr[[#This Row],[Time]]&gt;=0.75)=TRUE, "Evening", "Night")))</f>
        <v>Morning</v>
      </c>
      <c r="G225" t="s">
        <v>278</v>
      </c>
      <c r="H225" t="str">
        <f>_xlfn.XLOOKUP(AllDataApr[[#This Row],[Location Name]], Locations[Row Labels],Locations[Group As])</f>
        <v>Pitch 16</v>
      </c>
      <c r="I225" t="str">
        <f>_xlfn.XLOOKUP(AllDataApr[[#This Row],[Site Name]],LocationsKey[Site Name],LocationsKey[Region])</f>
        <v>Stratford</v>
      </c>
      <c r="J225" t="str">
        <f>_xlfn.XLOOKUP(AllDataApr[[#This Row],[Site Name]],LocationsKey[Site Name], LocationsKey[Waterway])</f>
        <v>Avon</v>
      </c>
      <c r="K225" t="s">
        <v>39</v>
      </c>
      <c r="N225" t="s">
        <v>18</v>
      </c>
      <c r="O225">
        <v>702</v>
      </c>
      <c r="P225">
        <v>9.3000000000000007</v>
      </c>
      <c r="Q225">
        <v>5</v>
      </c>
      <c r="R225" s="7" t="str">
        <f>IF(AllDataApr[[#This Row],[Nitrate (PPM)]]&gt;2, "Very high", IF(AllDataApr[[#This Row],[Nitrate (PPM)]]&gt;1, "High", IF(AllDataApr[[#This Row],[Nitrate (PPM)]]&gt;0.5, "Some evidence", IF(AllDataApr[[#This Row],[Nitrate (PPM)]]&gt;0, "No evidence", IF(AllDataApr[[#This Row],[Nitrate (PPM)]]=0, "")))))</f>
        <v>Very high</v>
      </c>
      <c r="S225">
        <v>0.54</v>
      </c>
      <c r="T225" s="7" t="str">
        <f>IF(AllDataApr[[#This Row],[Phosphate (PPM)]]&gt;0.5, "Very high", IF(AllDataApr[[#This Row],[Phosphate (PPM)]]&gt;0.1, "High", IF(AllDataApr[[#This Row],[Phosphate (PPM)]]&gt;0.05, "Some evidence", IF(AllDataApr[[#This Row],[Phosphate (PPM)]]=0, ""))))</f>
        <v>Very high</v>
      </c>
      <c r="U225">
        <v>0.71</v>
      </c>
    </row>
    <row r="226" spans="1:22" x14ac:dyDescent="0.3">
      <c r="A226" t="s">
        <v>461</v>
      </c>
      <c r="B226" s="2">
        <v>45262</v>
      </c>
      <c r="C226" s="2" t="str" cm="1">
        <f t="array" ref="C22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26">
        <f>YEAR(AllDataApr[[#This Row],[Date]])</f>
        <v>2023</v>
      </c>
      <c r="E226" s="1">
        <v>0.45833333333333331</v>
      </c>
      <c r="F226" s="2" t="str">
        <f>IF(AND(AllDataApr[[#This Row],[Time]]&lt;0.5, AllDataApr[[#This Row],[Time]]&gt;0.17)=TRUE, "Morning", IF(AND(AllDataApr[[#This Row],[Time]]&lt;0.75, AllDataApr[[#This Row],[Time]]&gt;=0.5)=TRUE, "Afternoon", IF(AND(AllDataApr[[#This Row],[Time]]&lt;1, AllDataApr[[#This Row],[Time]]&gt;=0.75)=TRUE, "Evening", "Night")))</f>
        <v>Morning</v>
      </c>
      <c r="G226" t="s">
        <v>278</v>
      </c>
      <c r="H226" t="str">
        <f>_xlfn.XLOOKUP(AllDataApr[[#This Row],[Location Name]], Locations[Row Labels],Locations[Group As])</f>
        <v>Avonbank Drive</v>
      </c>
      <c r="I226" t="str">
        <f>_xlfn.XLOOKUP(AllDataApr[[#This Row],[Site Name]],LocationsKey[Site Name],LocationsKey[Region])</f>
        <v>Stratford</v>
      </c>
      <c r="J226" t="str">
        <f>_xlfn.XLOOKUP(AllDataApr[[#This Row],[Site Name]],LocationsKey[Site Name], LocationsKey[Waterway])</f>
        <v>Avon</v>
      </c>
      <c r="K226" t="s">
        <v>71</v>
      </c>
      <c r="N226" t="s">
        <v>42</v>
      </c>
      <c r="O226">
        <v>902</v>
      </c>
      <c r="P226">
        <v>10.3</v>
      </c>
      <c r="Q226">
        <v>5</v>
      </c>
      <c r="R226" s="7" t="str">
        <f>IF(AllDataApr[[#This Row],[Nitrate (PPM)]]&gt;2, "Very high", IF(AllDataApr[[#This Row],[Nitrate (PPM)]]&gt;1, "High", IF(AllDataApr[[#This Row],[Nitrate (PPM)]]&gt;0.5, "Some evidence", IF(AllDataApr[[#This Row],[Nitrate (PPM)]]&gt;0, "No evidence", IF(AllDataApr[[#This Row],[Nitrate (PPM)]]=0, "")))))</f>
        <v>Very high</v>
      </c>
      <c r="S226">
        <v>0.57999999999999996</v>
      </c>
      <c r="T226" s="7" t="str">
        <f>IF(AllDataApr[[#This Row],[Phosphate (PPM)]]&gt;0.5, "Very high", IF(AllDataApr[[#This Row],[Phosphate (PPM)]]&gt;0.1, "High", IF(AllDataApr[[#This Row],[Phosphate (PPM)]]&gt;0.05, "Some evidence", IF(AllDataApr[[#This Row],[Phosphate (PPM)]]=0, ""))))</f>
        <v>Very high</v>
      </c>
      <c r="U226">
        <v>0.71</v>
      </c>
    </row>
    <row r="227" spans="1:22" x14ac:dyDescent="0.3">
      <c r="A227" t="s">
        <v>683</v>
      </c>
      <c r="B227" s="2">
        <v>45262</v>
      </c>
      <c r="C227" s="2" t="str" cm="1">
        <f t="array" ref="C22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27">
        <f>YEAR(AllDataApr[[#This Row],[Date]])</f>
        <v>2023</v>
      </c>
      <c r="E227" s="1">
        <v>0.52083333333333337</v>
      </c>
      <c r="F227" s="2" t="str">
        <f>IF(AND(AllDataApr[[#This Row],[Time]]&lt;0.5, AllDataApr[[#This Row],[Time]]&gt;0.17)=TRUE, "Morning", IF(AND(AllDataApr[[#This Row],[Time]]&lt;0.75, AllDataApr[[#This Row],[Time]]&gt;=0.5)=TRUE, "Afternoon", IF(AND(AllDataApr[[#This Row],[Time]]&lt;1, AllDataApr[[#This Row],[Time]]&gt;=0.75)=TRUE, "Evening", "Night")))</f>
        <v>Afternoon</v>
      </c>
      <c r="G227" t="s">
        <v>52</v>
      </c>
      <c r="H227" t="str">
        <f>_xlfn.XLOOKUP(AllDataApr[[#This Row],[Location Name]], Locations[Row Labels],Locations[Group As])</f>
        <v>Carrant Bredon Rd</v>
      </c>
      <c r="I227" t="str">
        <f>_xlfn.XLOOKUP(AllDataApr[[#This Row],[Site Name]],LocationsKey[Site Name],LocationsKey[Region])</f>
        <v>Tewkesbury</v>
      </c>
      <c r="J227" t="str">
        <f>_xlfn.XLOOKUP(AllDataApr[[#This Row],[Site Name]],LocationsKey[Site Name], LocationsKey[Waterway])</f>
        <v>Carrant</v>
      </c>
      <c r="K227" t="s">
        <v>53</v>
      </c>
      <c r="N227" t="s">
        <v>200</v>
      </c>
      <c r="O227">
        <v>802</v>
      </c>
      <c r="P227">
        <v>5.0999999999999996</v>
      </c>
      <c r="Q227">
        <v>5</v>
      </c>
      <c r="R227" s="7" t="str">
        <f>IF(AllDataApr[[#This Row],[Nitrate (PPM)]]&gt;2, "Very high", IF(AllDataApr[[#This Row],[Nitrate (PPM)]]&gt;1, "High", IF(AllDataApr[[#This Row],[Nitrate (PPM)]]&gt;0.5, "Some evidence", IF(AllDataApr[[#This Row],[Nitrate (PPM)]]&gt;0, "No evidence", IF(AllDataApr[[#This Row],[Nitrate (PPM)]]=0, "")))))</f>
        <v>Very high</v>
      </c>
      <c r="S227">
        <v>0.28000000000000003</v>
      </c>
      <c r="T227" s="7" t="str">
        <f>IF(AllDataApr[[#This Row],[Phosphate (PPM)]]&gt;0.5, "Very high", IF(AllDataApr[[#This Row],[Phosphate (PPM)]]&gt;0.1, "High", IF(AllDataApr[[#This Row],[Phosphate (PPM)]]&gt;0.05, "Some evidence", IF(AllDataApr[[#This Row],[Phosphate (PPM)]]=0, ""))))</f>
        <v>High</v>
      </c>
      <c r="U227">
        <v>0</v>
      </c>
    </row>
    <row r="228" spans="1:22" x14ac:dyDescent="0.3">
      <c r="A228" t="s">
        <v>686</v>
      </c>
      <c r="B228" s="2">
        <v>45263</v>
      </c>
      <c r="C228" s="2" t="str" cm="1">
        <f t="array" ref="C22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28">
        <f>YEAR(AllDataApr[[#This Row],[Date]])</f>
        <v>2023</v>
      </c>
      <c r="E228" s="1">
        <v>0.38194444444444442</v>
      </c>
      <c r="F228" s="2" t="str">
        <f>IF(AND(AllDataApr[[#This Row],[Time]]&lt;0.5, AllDataApr[[#This Row],[Time]]&gt;0.17)=TRUE, "Morning", IF(AND(AllDataApr[[#This Row],[Time]]&lt;0.75, AllDataApr[[#This Row],[Time]]&gt;=0.5)=TRUE, "Afternoon", IF(AND(AllDataApr[[#This Row],[Time]]&lt;1, AllDataApr[[#This Row],[Time]]&gt;=0.75)=TRUE, "Evening", "Night")))</f>
        <v>Morning</v>
      </c>
      <c r="G228" t="s">
        <v>11</v>
      </c>
      <c r="H228" t="str">
        <f>_xlfn.XLOOKUP(AllDataApr[[#This Row],[Location Name]], Locations[Row Labels],Locations[Group As])</f>
        <v>Abbey Mill</v>
      </c>
      <c r="I228" t="str">
        <f>_xlfn.XLOOKUP(AllDataApr[[#This Row],[Site Name]],LocationsKey[Site Name],LocationsKey[Region])</f>
        <v>Tewkesbury</v>
      </c>
      <c r="J228" t="str">
        <f>_xlfn.XLOOKUP(AllDataApr[[#This Row],[Site Name]],LocationsKey[Site Name], LocationsKey[Waterway])</f>
        <v>Avon</v>
      </c>
      <c r="K228" t="s">
        <v>12</v>
      </c>
      <c r="L228">
        <v>51.991371000000001</v>
      </c>
      <c r="M228">
        <v>-2.1628440000000002</v>
      </c>
      <c r="N228" t="s">
        <v>200</v>
      </c>
      <c r="O228">
        <v>804</v>
      </c>
      <c r="P228">
        <v>6.7</v>
      </c>
      <c r="Q228">
        <v>5</v>
      </c>
      <c r="R228" s="7" t="str">
        <f>IF(AllDataApr[[#This Row],[Nitrate (PPM)]]&gt;2, "Very high", IF(AllDataApr[[#This Row],[Nitrate (PPM)]]&gt;1, "High", IF(AllDataApr[[#This Row],[Nitrate (PPM)]]&gt;0.5, "Some evidence", IF(AllDataApr[[#This Row],[Nitrate (PPM)]]&gt;0, "No evidence", IF(AllDataApr[[#This Row],[Nitrate (PPM)]]=0, "")))))</f>
        <v>Very high</v>
      </c>
      <c r="S228">
        <v>0.7</v>
      </c>
      <c r="T228" s="7" t="str">
        <f>IF(AllDataApr[[#This Row],[Phosphate (PPM)]]&gt;0.5, "Very high", IF(AllDataApr[[#This Row],[Phosphate (PPM)]]&gt;0.1, "High", IF(AllDataApr[[#This Row],[Phosphate (PPM)]]&gt;0.05, "Some evidence", IF(AllDataApr[[#This Row],[Phosphate (PPM)]]=0, ""))))</f>
        <v>Very high</v>
      </c>
      <c r="U228">
        <v>0</v>
      </c>
    </row>
    <row r="229" spans="1:22" x14ac:dyDescent="0.3">
      <c r="A229" t="s">
        <v>659</v>
      </c>
      <c r="B229" s="2">
        <v>45263</v>
      </c>
      <c r="C229" s="2" t="str" cm="1">
        <f t="array" ref="C22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29">
        <f>YEAR(AllDataApr[[#This Row],[Date]])</f>
        <v>2023</v>
      </c>
      <c r="E229" s="1">
        <v>0.41666666666666669</v>
      </c>
      <c r="F229" s="2" t="str">
        <f>IF(AND(AllDataApr[[#This Row],[Time]]&lt;0.5, AllDataApr[[#This Row],[Time]]&gt;0.17)=TRUE, "Morning", IF(AND(AllDataApr[[#This Row],[Time]]&lt;0.75, AllDataApr[[#This Row],[Time]]&gt;=0.5)=TRUE, "Afternoon", IF(AND(AllDataApr[[#This Row],[Time]]&lt;1, AllDataApr[[#This Row],[Time]]&gt;=0.75)=TRUE, "Evening", "Night")))</f>
        <v>Morning</v>
      </c>
      <c r="G229" t="s">
        <v>100</v>
      </c>
      <c r="H229" t="str">
        <f>_xlfn.XLOOKUP(AllDataApr[[#This Row],[Location Name]], Locations[Row Labels],Locations[Group As])</f>
        <v>Barton</v>
      </c>
      <c r="I229" t="str">
        <f>_xlfn.XLOOKUP(AllDataApr[[#This Row],[Site Name]],LocationsKey[Site Name],LocationsKey[Region])</f>
        <v>Stratford</v>
      </c>
      <c r="J229" t="str">
        <f>_xlfn.XLOOKUP(AllDataApr[[#This Row],[Site Name]],LocationsKey[Site Name], LocationsKey[Waterway])</f>
        <v>Avon</v>
      </c>
      <c r="K229" t="s">
        <v>29</v>
      </c>
      <c r="L229">
        <v>52.161209999999997</v>
      </c>
      <c r="M229">
        <v>-1.8301499999999999</v>
      </c>
      <c r="N229" t="s">
        <v>18</v>
      </c>
      <c r="O229">
        <v>754</v>
      </c>
      <c r="P229">
        <v>7.1</v>
      </c>
      <c r="Q229">
        <v>7</v>
      </c>
      <c r="R229" s="7" t="str">
        <f>IF(AllDataApr[[#This Row],[Nitrate (PPM)]]&gt;2, "Very high", IF(AllDataApr[[#This Row],[Nitrate (PPM)]]&gt;1, "High", IF(AllDataApr[[#This Row],[Nitrate (PPM)]]&gt;0.5, "Some evidence", IF(AllDataApr[[#This Row],[Nitrate (PPM)]]&gt;0, "No evidence", IF(AllDataApr[[#This Row],[Nitrate (PPM)]]=0, "")))))</f>
        <v>Very high</v>
      </c>
      <c r="S229">
        <v>0.52</v>
      </c>
      <c r="T229" s="7" t="str">
        <f>IF(AllDataApr[[#This Row],[Phosphate (PPM)]]&gt;0.5, "Very high", IF(AllDataApr[[#This Row],[Phosphate (PPM)]]&gt;0.1, "High", IF(AllDataApr[[#This Row],[Phosphate (PPM)]]&gt;0.05, "Some evidence", IF(AllDataApr[[#This Row],[Phosphate (PPM)]]=0, ""))))</f>
        <v>Very high</v>
      </c>
      <c r="U229">
        <v>0</v>
      </c>
    </row>
    <row r="230" spans="1:22" x14ac:dyDescent="0.3">
      <c r="A230" t="s">
        <v>684</v>
      </c>
      <c r="B230" s="2">
        <v>45263</v>
      </c>
      <c r="C230" s="2" t="str" cm="1">
        <f t="array" ref="C23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30">
        <f>YEAR(AllDataApr[[#This Row],[Date]])</f>
        <v>2023</v>
      </c>
      <c r="E230" s="1">
        <v>0.45833333333333331</v>
      </c>
      <c r="F230" s="2" t="str">
        <f>IF(AND(AllDataApr[[#This Row],[Time]]&lt;0.5, AllDataApr[[#This Row],[Time]]&gt;0.17)=TRUE, "Morning", IF(AND(AllDataApr[[#This Row],[Time]]&lt;0.75, AllDataApr[[#This Row],[Time]]&gt;=0.5)=TRUE, "Afternoon", IF(AND(AllDataApr[[#This Row],[Time]]&lt;1, AllDataApr[[#This Row],[Time]]&gt;=0.75)=TRUE, "Evening", "Night")))</f>
        <v>Morning</v>
      </c>
      <c r="G230" t="s">
        <v>129</v>
      </c>
      <c r="H230" t="str">
        <f>_xlfn.XLOOKUP(AllDataApr[[#This Row],[Location Name]], Locations[Row Labels],Locations[Group As])</f>
        <v>Alveston Weir</v>
      </c>
      <c r="I230" t="str">
        <f>_xlfn.XLOOKUP(AllDataApr[[#This Row],[Site Name]],LocationsKey[Site Name],LocationsKey[Region])</f>
        <v>Stratford</v>
      </c>
      <c r="J230" t="str">
        <f>_xlfn.XLOOKUP(AllDataApr[[#This Row],[Site Name]],LocationsKey[Site Name], LocationsKey[Waterway])</f>
        <v>Avon</v>
      </c>
      <c r="K230" t="s">
        <v>128</v>
      </c>
      <c r="L230">
        <v>52.206477999999997</v>
      </c>
      <c r="M230">
        <v>-1.6584700000000001</v>
      </c>
      <c r="N230" t="s">
        <v>18</v>
      </c>
      <c r="O230">
        <v>7</v>
      </c>
      <c r="P230">
        <v>7.6</v>
      </c>
      <c r="Q230">
        <v>5</v>
      </c>
      <c r="R230" s="7" t="str">
        <f>IF(AllDataApr[[#This Row],[Nitrate (PPM)]]&gt;2, "Very high", IF(AllDataApr[[#This Row],[Nitrate (PPM)]]&gt;1, "High", IF(AllDataApr[[#This Row],[Nitrate (PPM)]]&gt;0.5, "Some evidence", IF(AllDataApr[[#This Row],[Nitrate (PPM)]]&gt;0, "No evidence", IF(AllDataApr[[#This Row],[Nitrate (PPM)]]=0, "")))))</f>
        <v>Very high</v>
      </c>
      <c r="S230">
        <v>0.52</v>
      </c>
      <c r="T230" s="7" t="str">
        <f>IF(AllDataApr[[#This Row],[Phosphate (PPM)]]&gt;0.5, "Very high", IF(AllDataApr[[#This Row],[Phosphate (PPM)]]&gt;0.1, "High", IF(AllDataApr[[#This Row],[Phosphate (PPM)]]&gt;0.05, "Some evidence", IF(AllDataApr[[#This Row],[Phosphate (PPM)]]=0, ""))))</f>
        <v>Very high</v>
      </c>
      <c r="U230">
        <v>1</v>
      </c>
      <c r="V230" t="s">
        <v>169</v>
      </c>
    </row>
    <row r="231" spans="1:22" x14ac:dyDescent="0.3">
      <c r="A231" t="s">
        <v>685</v>
      </c>
      <c r="B231" s="2">
        <v>45263</v>
      </c>
      <c r="C231" s="2" t="str" cm="1">
        <f t="array" ref="C23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31">
        <f>YEAR(AllDataApr[[#This Row],[Date]])</f>
        <v>2023</v>
      </c>
      <c r="E231" s="1">
        <v>0.45833333333333331</v>
      </c>
      <c r="F231" s="2" t="str">
        <f>IF(AND(AllDataApr[[#This Row],[Time]]&lt;0.5, AllDataApr[[#This Row],[Time]]&gt;0.17)=TRUE, "Morning", IF(AND(AllDataApr[[#This Row],[Time]]&lt;0.75, AllDataApr[[#This Row],[Time]]&gt;=0.5)=TRUE, "Afternoon", IF(AND(AllDataApr[[#This Row],[Time]]&lt;1, AllDataApr[[#This Row],[Time]]&gt;=0.75)=TRUE, "Evening", "Night")))</f>
        <v>Morning</v>
      </c>
      <c r="G231" t="s">
        <v>127</v>
      </c>
      <c r="H231" t="str">
        <f>_xlfn.XLOOKUP(AllDataApr[[#This Row],[Location Name]], Locations[Row Labels],Locations[Group As])</f>
        <v>Swiffen Bank</v>
      </c>
      <c r="I231" t="str">
        <f>_xlfn.XLOOKUP(AllDataApr[[#This Row],[Site Name]],LocationsKey[Site Name],LocationsKey[Region])</f>
        <v>Stratford</v>
      </c>
      <c r="J231" t="str">
        <f>_xlfn.XLOOKUP(AllDataApr[[#This Row],[Site Name]],LocationsKey[Site Name], LocationsKey[Waterway])</f>
        <v>Avon</v>
      </c>
      <c r="K231" t="s">
        <v>130</v>
      </c>
      <c r="L231">
        <v>52.206477999999997</v>
      </c>
      <c r="M231">
        <v>-1.653894</v>
      </c>
      <c r="N231" t="s">
        <v>18</v>
      </c>
      <c r="O231">
        <v>731</v>
      </c>
      <c r="P231">
        <v>7.2</v>
      </c>
      <c r="Q231">
        <v>5</v>
      </c>
      <c r="R231" s="7" t="str">
        <f>IF(AllDataApr[[#This Row],[Nitrate (PPM)]]&gt;2, "Very high", IF(AllDataApr[[#This Row],[Nitrate (PPM)]]&gt;1, "High", IF(AllDataApr[[#This Row],[Nitrate (PPM)]]&gt;0.5, "Some evidence", IF(AllDataApr[[#This Row],[Nitrate (PPM)]]&gt;0, "No evidence", IF(AllDataApr[[#This Row],[Nitrate (PPM)]]=0, "")))))</f>
        <v>Very high</v>
      </c>
      <c r="S231">
        <v>0.55000000000000004</v>
      </c>
      <c r="T231" s="7" t="str">
        <f>IF(AllDataApr[[#This Row],[Phosphate (PPM)]]&gt;0.5, "Very high", IF(AllDataApr[[#This Row],[Phosphate (PPM)]]&gt;0.1, "High", IF(AllDataApr[[#This Row],[Phosphate (PPM)]]&gt;0.05, "Some evidence", IF(AllDataApr[[#This Row],[Phosphate (PPM)]]=0, ""))))</f>
        <v>Very high</v>
      </c>
      <c r="U231">
        <v>0</v>
      </c>
    </row>
    <row r="232" spans="1:22" x14ac:dyDescent="0.3">
      <c r="A232" t="s">
        <v>665</v>
      </c>
      <c r="B232" s="2">
        <v>45263</v>
      </c>
      <c r="C232" s="2" t="str" cm="1">
        <f t="array" ref="C23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32">
        <f>YEAR(AllDataApr[[#This Row],[Date]])</f>
        <v>2023</v>
      </c>
      <c r="E232" s="1">
        <v>0.47916666666666669</v>
      </c>
      <c r="F232" s="2" t="str">
        <f>IF(AND(AllDataApr[[#This Row],[Time]]&lt;0.5, AllDataApr[[#This Row],[Time]]&gt;0.17)=TRUE, "Morning", IF(AND(AllDataApr[[#This Row],[Time]]&lt;0.75, AllDataApr[[#This Row],[Time]]&gt;=0.5)=TRUE, "Afternoon", IF(AND(AllDataApr[[#This Row],[Time]]&lt;1, AllDataApr[[#This Row],[Time]]&gt;=0.75)=TRUE, "Evening", "Night")))</f>
        <v>Morning</v>
      </c>
      <c r="G232" t="s">
        <v>20</v>
      </c>
      <c r="H232" t="str">
        <f>_xlfn.XLOOKUP(AllDataApr[[#This Row],[Location Name]], Locations[Row Labels],Locations[Group As])</f>
        <v>Hampton Wood</v>
      </c>
      <c r="I232" t="str">
        <f>_xlfn.XLOOKUP(AllDataApr[[#This Row],[Site Name]],LocationsKey[Site Name],LocationsKey[Region])</f>
        <v>Stratford</v>
      </c>
      <c r="J232" t="str">
        <f>_xlfn.XLOOKUP(AllDataApr[[#This Row],[Site Name]],LocationsKey[Site Name], LocationsKey[Waterway])</f>
        <v>Avon</v>
      </c>
      <c r="K232" t="s">
        <v>25</v>
      </c>
      <c r="L232">
        <v>52.238149999999997</v>
      </c>
      <c r="M232">
        <v>-1.6245799999999999</v>
      </c>
      <c r="N232" t="s">
        <v>18</v>
      </c>
      <c r="O232">
        <v>920</v>
      </c>
      <c r="P232">
        <v>6.1</v>
      </c>
      <c r="Q232">
        <v>15</v>
      </c>
      <c r="R232" s="7" t="str">
        <f>IF(AllDataApr[[#This Row],[Nitrate (PPM)]]&gt;2, "Very high", IF(AllDataApr[[#This Row],[Nitrate (PPM)]]&gt;1, "High", IF(AllDataApr[[#This Row],[Nitrate (PPM)]]&gt;0.5, "Some evidence", IF(AllDataApr[[#This Row],[Nitrate (PPM)]]&gt;0, "No evidence", IF(AllDataApr[[#This Row],[Nitrate (PPM)]]=0, "")))))</f>
        <v>Very high</v>
      </c>
      <c r="S232">
        <v>0.8</v>
      </c>
      <c r="T232" s="7" t="str">
        <f>IF(AllDataApr[[#This Row],[Phosphate (PPM)]]&gt;0.5, "Very high", IF(AllDataApr[[#This Row],[Phosphate (PPM)]]&gt;0.1, "High", IF(AllDataApr[[#This Row],[Phosphate (PPM)]]&gt;0.05, "Some evidence", IF(AllDataApr[[#This Row],[Phosphate (PPM)]]=0, ""))))</f>
        <v>Very high</v>
      </c>
      <c r="U232">
        <v>0</v>
      </c>
    </row>
    <row r="233" spans="1:22" x14ac:dyDescent="0.3">
      <c r="A233" t="s">
        <v>663</v>
      </c>
      <c r="B233" s="2">
        <v>45263</v>
      </c>
      <c r="C233" s="2" t="str" cm="1">
        <f t="array" ref="C23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33">
        <f>YEAR(AllDataApr[[#This Row],[Date]])</f>
        <v>2023</v>
      </c>
      <c r="E233" s="1">
        <v>0.54166666666666663</v>
      </c>
      <c r="F233" s="2" t="str">
        <f>IF(AND(AllDataApr[[#This Row],[Time]]&lt;0.5, AllDataApr[[#This Row],[Time]]&gt;0.17)=TRUE, "Morning", IF(AND(AllDataApr[[#This Row],[Time]]&lt;0.75, AllDataApr[[#This Row],[Time]]&gt;=0.5)=TRUE, "Afternoon", IF(AND(AllDataApr[[#This Row],[Time]]&lt;1, AllDataApr[[#This Row],[Time]]&gt;=0.75)=TRUE, "Evening", "Night")))</f>
        <v>Afternoon</v>
      </c>
      <c r="G233" t="s">
        <v>95</v>
      </c>
      <c r="H233" t="str">
        <f>_xlfn.XLOOKUP(AllDataApr[[#This Row],[Location Name]], Locations[Row Labels],Locations[Group As])</f>
        <v>Hampton Lucy</v>
      </c>
      <c r="I233" t="str">
        <f>_xlfn.XLOOKUP(AllDataApr[[#This Row],[Site Name]],LocationsKey[Site Name],LocationsKey[Region])</f>
        <v>Stratford</v>
      </c>
      <c r="J233" t="str">
        <f>_xlfn.XLOOKUP(AllDataApr[[#This Row],[Site Name]],LocationsKey[Site Name], LocationsKey[Waterway])</f>
        <v>Avon</v>
      </c>
      <c r="K233" t="s">
        <v>27</v>
      </c>
      <c r="L233">
        <v>52.211680000000001</v>
      </c>
      <c r="M233">
        <v>-1.6244400000000001</v>
      </c>
      <c r="N233" t="s">
        <v>200</v>
      </c>
      <c r="O233">
        <v>870</v>
      </c>
      <c r="P233">
        <v>6.3</v>
      </c>
      <c r="Q233">
        <v>13</v>
      </c>
      <c r="R233" s="7" t="str">
        <f>IF(AllDataApr[[#This Row],[Nitrate (PPM)]]&gt;2, "Very high", IF(AllDataApr[[#This Row],[Nitrate (PPM)]]&gt;1, "High", IF(AllDataApr[[#This Row],[Nitrate (PPM)]]&gt;0.5, "Some evidence", IF(AllDataApr[[#This Row],[Nitrate (PPM)]]&gt;0, "No evidence", IF(AllDataApr[[#This Row],[Nitrate (PPM)]]=0, "")))))</f>
        <v>Very high</v>
      </c>
      <c r="S233">
        <v>0.67</v>
      </c>
      <c r="T233" s="7" t="str">
        <f>IF(AllDataApr[[#This Row],[Phosphate (PPM)]]&gt;0.5, "Very high", IF(AllDataApr[[#This Row],[Phosphate (PPM)]]&gt;0.1, "High", IF(AllDataApr[[#This Row],[Phosphate (PPM)]]&gt;0.05, "Some evidence", IF(AllDataApr[[#This Row],[Phosphate (PPM)]]=0, ""))))</f>
        <v>Very high</v>
      </c>
      <c r="U233">
        <v>0</v>
      </c>
    </row>
    <row r="234" spans="1:22" x14ac:dyDescent="0.3">
      <c r="A234" t="s">
        <v>639</v>
      </c>
      <c r="B234" s="2">
        <v>45263</v>
      </c>
      <c r="C234" s="2" t="str" cm="1">
        <f t="array" ref="C23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34">
        <f>YEAR(AllDataApr[[#This Row],[Date]])</f>
        <v>2023</v>
      </c>
      <c r="E234" s="1">
        <v>0.58333333333333337</v>
      </c>
      <c r="F234" s="2" t="str">
        <f>IF(AND(AllDataApr[[#This Row],[Time]]&lt;0.5, AllDataApr[[#This Row],[Time]]&gt;0.17)=TRUE, "Morning", IF(AND(AllDataApr[[#This Row],[Time]]&lt;0.75, AllDataApr[[#This Row],[Time]]&gt;=0.5)=TRUE, "Afternoon", IF(AND(AllDataApr[[#This Row],[Time]]&lt;1, AllDataApr[[#This Row],[Time]]&gt;=0.75)=TRUE, "Evening", "Night")))</f>
        <v>Afternoon</v>
      </c>
      <c r="G234" t="s">
        <v>112</v>
      </c>
      <c r="H234" t="str">
        <f>_xlfn.XLOOKUP(AllDataApr[[#This Row],[Location Name]], Locations[Row Labels],Locations[Group As])</f>
        <v>Clifford Chambers Mill Bridge</v>
      </c>
      <c r="I234" t="str">
        <f>_xlfn.XLOOKUP(AllDataApr[[#This Row],[Site Name]],LocationsKey[Site Name],LocationsKey[Region])</f>
        <v>Stratford</v>
      </c>
      <c r="J234" t="str">
        <f>_xlfn.XLOOKUP(AllDataApr[[#This Row],[Site Name]],LocationsKey[Site Name], LocationsKey[Waterway])</f>
        <v>Stour</v>
      </c>
      <c r="K234" t="s">
        <v>119</v>
      </c>
      <c r="L234">
        <v>52.166370000000001</v>
      </c>
      <c r="M234">
        <v>-1.708032</v>
      </c>
      <c r="N234" t="s">
        <v>1047</v>
      </c>
      <c r="O234">
        <v>711</v>
      </c>
      <c r="P234">
        <v>4.7</v>
      </c>
      <c r="Q234">
        <v>9</v>
      </c>
      <c r="R234" s="7" t="str">
        <f>IF(AllDataApr[[#This Row],[Nitrate (PPM)]]&gt;2, "Very high", IF(AllDataApr[[#This Row],[Nitrate (PPM)]]&gt;1, "High", IF(AllDataApr[[#This Row],[Nitrate (PPM)]]&gt;0.5, "Some evidence", IF(AllDataApr[[#This Row],[Nitrate (PPM)]]&gt;0, "No evidence", IF(AllDataApr[[#This Row],[Nitrate (PPM)]]=0, "")))))</f>
        <v>Very high</v>
      </c>
      <c r="S234">
        <v>0.26</v>
      </c>
      <c r="T234" s="7" t="str">
        <f>IF(AllDataApr[[#This Row],[Phosphate (PPM)]]&gt;0.5, "Very high", IF(AllDataApr[[#This Row],[Phosphate (PPM)]]&gt;0.1, "High", IF(AllDataApr[[#This Row],[Phosphate (PPM)]]&gt;0.05, "Some evidence", IF(AllDataApr[[#This Row],[Phosphate (PPM)]]=0, ""))))</f>
        <v>High</v>
      </c>
      <c r="U234">
        <v>0.8</v>
      </c>
    </row>
    <row r="235" spans="1:22" x14ac:dyDescent="0.3">
      <c r="A235" t="s">
        <v>661</v>
      </c>
      <c r="B235" s="2">
        <v>45263</v>
      </c>
      <c r="C235" s="2" t="str" cm="1">
        <f t="array" ref="C23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35">
        <f>YEAR(AllDataApr[[#This Row],[Date]])</f>
        <v>2023</v>
      </c>
      <c r="E235" s="1">
        <v>0.65625</v>
      </c>
      <c r="F235" s="2" t="str">
        <f>IF(AND(AllDataApr[[#This Row],[Time]]&lt;0.5, AllDataApr[[#This Row],[Time]]&gt;0.17)=TRUE, "Morning", IF(AND(AllDataApr[[#This Row],[Time]]&lt;0.75, AllDataApr[[#This Row],[Time]]&gt;=0.5)=TRUE, "Afternoon", IF(AND(AllDataApr[[#This Row],[Time]]&lt;1, AllDataApr[[#This Row],[Time]]&gt;=0.75)=TRUE, "Evening", "Night")))</f>
        <v>Afternoon</v>
      </c>
      <c r="G235" t="s">
        <v>35</v>
      </c>
      <c r="H235" t="str">
        <f>_xlfn.XLOOKUP(AllDataApr[[#This Row],[Location Name]], Locations[Row Labels],Locations[Group As])</f>
        <v>Welford Boat Station</v>
      </c>
      <c r="I235" t="str">
        <f>_xlfn.XLOOKUP(AllDataApr[[#This Row],[Site Name]],LocationsKey[Site Name],LocationsKey[Region])</f>
        <v>Stratford</v>
      </c>
      <c r="J235" t="str">
        <f>_xlfn.XLOOKUP(AllDataApr[[#This Row],[Site Name]],LocationsKey[Site Name], LocationsKey[Waterway])</f>
        <v>Avon</v>
      </c>
      <c r="K235" t="s">
        <v>22</v>
      </c>
      <c r="L235">
        <v>52.175240000000002</v>
      </c>
      <c r="M235">
        <v>-1.7918700000000001</v>
      </c>
      <c r="N235" t="s">
        <v>18</v>
      </c>
      <c r="O235">
        <v>888</v>
      </c>
      <c r="P235">
        <v>5.8</v>
      </c>
      <c r="Q235">
        <v>20</v>
      </c>
      <c r="R235" s="7" t="str">
        <f>IF(AllDataApr[[#This Row],[Nitrate (PPM)]]&gt;2, "Very high", IF(AllDataApr[[#This Row],[Nitrate (PPM)]]&gt;1, "High", IF(AllDataApr[[#This Row],[Nitrate (PPM)]]&gt;0.5, "Some evidence", IF(AllDataApr[[#This Row],[Nitrate (PPM)]]&gt;0, "No evidence", IF(AllDataApr[[#This Row],[Nitrate (PPM)]]=0, "")))))</f>
        <v>Very high</v>
      </c>
      <c r="S235">
        <v>0.34</v>
      </c>
      <c r="T235" s="7" t="str">
        <f>IF(AllDataApr[[#This Row],[Phosphate (PPM)]]&gt;0.5, "Very high", IF(AllDataApr[[#This Row],[Phosphate (PPM)]]&gt;0.1, "High", IF(AllDataApr[[#This Row],[Phosphate (PPM)]]&gt;0.05, "Some evidence", IF(AllDataApr[[#This Row],[Phosphate (PPM)]]=0, ""))))</f>
        <v>High</v>
      </c>
      <c r="U235">
        <v>0</v>
      </c>
      <c r="V235" t="s">
        <v>168</v>
      </c>
    </row>
    <row r="236" spans="1:22" x14ac:dyDescent="0.3">
      <c r="A236" t="s">
        <v>682</v>
      </c>
      <c r="B236" s="2">
        <v>45264</v>
      </c>
      <c r="C236" s="2" t="str" cm="1">
        <f t="array" ref="C23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36">
        <f>YEAR(AllDataApr[[#This Row],[Date]])</f>
        <v>2023</v>
      </c>
      <c r="E236" s="1">
        <v>0.38958333333333334</v>
      </c>
      <c r="F236" s="2" t="str">
        <f>IF(AND(AllDataApr[[#This Row],[Time]]&lt;0.5, AllDataApr[[#This Row],[Time]]&gt;0.17)=TRUE, "Morning", IF(AND(AllDataApr[[#This Row],[Time]]&lt;0.75, AllDataApr[[#This Row],[Time]]&gt;=0.5)=TRUE, "Afternoon", IF(AND(AllDataApr[[#This Row],[Time]]&lt;1, AllDataApr[[#This Row],[Time]]&gt;=0.75)=TRUE, "Evening", "Night")))</f>
        <v>Morning</v>
      </c>
      <c r="G236" t="s">
        <v>150</v>
      </c>
      <c r="H236" t="str">
        <f>_xlfn.XLOOKUP(AllDataApr[[#This Row],[Location Name]], Locations[Row Labels],Locations[Group As])</f>
        <v>Stour Stretton-on-Fosse Village</v>
      </c>
      <c r="I236" t="str">
        <f>_xlfn.XLOOKUP(AllDataApr[[#This Row],[Site Name]],LocationsKey[Site Name],LocationsKey[Region])</f>
        <v>Shipston</v>
      </c>
      <c r="J236" t="str">
        <f>_xlfn.XLOOKUP(AllDataApr[[#This Row],[Site Name]],LocationsKey[Site Name], LocationsKey[Waterway])</f>
        <v>Stour</v>
      </c>
      <c r="K236" t="s">
        <v>161</v>
      </c>
      <c r="L236">
        <v>52.046492999999998</v>
      </c>
      <c r="M236">
        <v>-1.6733830000000001</v>
      </c>
      <c r="N236" t="s">
        <v>42</v>
      </c>
      <c r="O236">
        <v>319</v>
      </c>
      <c r="P236">
        <v>7.1</v>
      </c>
      <c r="Q236">
        <v>2</v>
      </c>
      <c r="R236" s="7" t="str">
        <f>IF(AllDataApr[[#This Row],[Nitrate (PPM)]]&gt;2, "Very high", IF(AllDataApr[[#This Row],[Nitrate (PPM)]]&gt;1, "High", IF(AllDataApr[[#This Row],[Nitrate (PPM)]]&gt;0.5, "Some evidence", IF(AllDataApr[[#This Row],[Nitrate (PPM)]]&gt;0, "No evidence", IF(AllDataApr[[#This Row],[Nitrate (PPM)]]=0, "")))))</f>
        <v>High</v>
      </c>
      <c r="S236">
        <v>0.62</v>
      </c>
      <c r="T236" s="7" t="str">
        <f>IF(AllDataApr[[#This Row],[Phosphate (PPM)]]&gt;0.5, "Very high", IF(AllDataApr[[#This Row],[Phosphate (PPM)]]&gt;0.1, "High", IF(AllDataApr[[#This Row],[Phosphate (PPM)]]&gt;0.05, "Some evidence", IF(AllDataApr[[#This Row],[Phosphate (PPM)]]=0, ""))))</f>
        <v>Very high</v>
      </c>
      <c r="U236">
        <v>0.35</v>
      </c>
    </row>
    <row r="237" spans="1:22" x14ac:dyDescent="0.3">
      <c r="A237" t="s">
        <v>681</v>
      </c>
      <c r="B237" s="2">
        <v>45264</v>
      </c>
      <c r="C237" s="2" t="str" cm="1">
        <f t="array" ref="C23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37">
        <f>YEAR(AllDataApr[[#This Row],[Date]])</f>
        <v>2023</v>
      </c>
      <c r="E237" s="1">
        <v>0.40138888888888891</v>
      </c>
      <c r="F237" s="2" t="str">
        <f>IF(AND(AllDataApr[[#This Row],[Time]]&lt;0.5, AllDataApr[[#This Row],[Time]]&gt;0.17)=TRUE, "Morning", IF(AND(AllDataApr[[#This Row],[Time]]&lt;0.75, AllDataApr[[#This Row],[Time]]&gt;=0.5)=TRUE, "Afternoon", IF(AND(AllDataApr[[#This Row],[Time]]&lt;1, AllDataApr[[#This Row],[Time]]&gt;=0.75)=TRUE, "Evening", "Night")))</f>
        <v>Morning</v>
      </c>
      <c r="G237" t="s">
        <v>150</v>
      </c>
      <c r="H237" t="str">
        <f>_xlfn.XLOOKUP(AllDataApr[[#This Row],[Location Name]], Locations[Row Labels],Locations[Group As])</f>
        <v>Stour Stretton-on-Fosse Sewage Works</v>
      </c>
      <c r="I237" t="str">
        <f>_xlfn.XLOOKUP(AllDataApr[[#This Row],[Site Name]],LocationsKey[Site Name],LocationsKey[Region])</f>
        <v>Shipston</v>
      </c>
      <c r="J237" t="str">
        <f>_xlfn.XLOOKUP(AllDataApr[[#This Row],[Site Name]],LocationsKey[Site Name], LocationsKey[Waterway])</f>
        <v>Stour</v>
      </c>
      <c r="K237" t="s">
        <v>151</v>
      </c>
      <c r="L237">
        <v>52.045656999999999</v>
      </c>
      <c r="M237">
        <v>-1.671899</v>
      </c>
      <c r="N237" t="s">
        <v>18</v>
      </c>
      <c r="O237">
        <v>298</v>
      </c>
      <c r="P237">
        <v>7</v>
      </c>
      <c r="Q237">
        <v>2</v>
      </c>
      <c r="R237" s="7" t="str">
        <f>IF(AllDataApr[[#This Row],[Nitrate (PPM)]]&gt;2, "Very high", IF(AllDataApr[[#This Row],[Nitrate (PPM)]]&gt;1, "High", IF(AllDataApr[[#This Row],[Nitrate (PPM)]]&gt;0.5, "Some evidence", IF(AllDataApr[[#This Row],[Nitrate (PPM)]]&gt;0, "No evidence", IF(AllDataApr[[#This Row],[Nitrate (PPM)]]=0, "")))))</f>
        <v>High</v>
      </c>
      <c r="S237">
        <v>0.21</v>
      </c>
      <c r="T237" s="7" t="str">
        <f>IF(AllDataApr[[#This Row],[Phosphate (PPM)]]&gt;0.5, "Very high", IF(AllDataApr[[#This Row],[Phosphate (PPM)]]&gt;0.1, "High", IF(AllDataApr[[#This Row],[Phosphate (PPM)]]&gt;0.05, "Some evidence", IF(AllDataApr[[#This Row],[Phosphate (PPM)]]=0, ""))))</f>
        <v>High</v>
      </c>
      <c r="U237">
        <v>0.6</v>
      </c>
    </row>
    <row r="238" spans="1:22" x14ac:dyDescent="0.3">
      <c r="A238" t="s">
        <v>680</v>
      </c>
      <c r="B238" s="2">
        <v>45266</v>
      </c>
      <c r="C238" s="2" t="str" cm="1">
        <f t="array" ref="C23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38">
        <f>YEAR(AllDataApr[[#This Row],[Date]])</f>
        <v>2023</v>
      </c>
      <c r="E238" s="1">
        <v>0.50138888888888888</v>
      </c>
      <c r="F238" s="2" t="str">
        <f>IF(AND(AllDataApr[[#This Row],[Time]]&lt;0.5, AllDataApr[[#This Row],[Time]]&gt;0.17)=TRUE, "Morning", IF(AND(AllDataApr[[#This Row],[Time]]&lt;0.75, AllDataApr[[#This Row],[Time]]&gt;=0.5)=TRUE, "Afternoon", IF(AND(AllDataApr[[#This Row],[Time]]&lt;1, AllDataApr[[#This Row],[Time]]&gt;=0.75)=TRUE, "Evening", "Night")))</f>
        <v>Afternoon</v>
      </c>
      <c r="G238" t="s">
        <v>139</v>
      </c>
      <c r="H238" t="str">
        <f>_xlfn.XLOOKUP(AllDataApr[[#This Row],[Location Name]], Locations[Row Labels],Locations[Group As])</f>
        <v>Alveston Weir</v>
      </c>
      <c r="I238" t="str">
        <f>_xlfn.XLOOKUP(AllDataApr[[#This Row],[Site Name]],LocationsKey[Site Name],LocationsKey[Region])</f>
        <v>Stratford</v>
      </c>
      <c r="J238" t="str">
        <f>_xlfn.XLOOKUP(AllDataApr[[#This Row],[Site Name]],LocationsKey[Site Name], LocationsKey[Waterway])</f>
        <v>Avon</v>
      </c>
      <c r="K238" t="s">
        <v>128</v>
      </c>
      <c r="L238">
        <v>52.212288999999998</v>
      </c>
      <c r="M238">
        <v>-1.660452</v>
      </c>
      <c r="N238" t="s">
        <v>18</v>
      </c>
      <c r="O238">
        <v>46.6</v>
      </c>
      <c r="P238">
        <v>6.4</v>
      </c>
      <c r="Q238">
        <v>2</v>
      </c>
      <c r="R238" s="7" t="str">
        <f>IF(AllDataApr[[#This Row],[Nitrate (PPM)]]&gt;2, "Very high", IF(AllDataApr[[#This Row],[Nitrate (PPM)]]&gt;1, "High", IF(AllDataApr[[#This Row],[Nitrate (PPM)]]&gt;0.5, "Some evidence", IF(AllDataApr[[#This Row],[Nitrate (PPM)]]&gt;0, "No evidence", IF(AllDataApr[[#This Row],[Nitrate (PPM)]]=0, "")))))</f>
        <v>High</v>
      </c>
      <c r="S238">
        <v>0.62</v>
      </c>
      <c r="T238" s="7" t="str">
        <f>IF(AllDataApr[[#This Row],[Phosphate (PPM)]]&gt;0.5, "Very high", IF(AllDataApr[[#This Row],[Phosphate (PPM)]]&gt;0.1, "High", IF(AllDataApr[[#This Row],[Phosphate (PPM)]]&gt;0.05, "Some evidence", IF(AllDataApr[[#This Row],[Phosphate (PPM)]]=0, ""))))</f>
        <v>Very high</v>
      </c>
      <c r="U238">
        <v>2</v>
      </c>
      <c r="V238" t="s">
        <v>172</v>
      </c>
    </row>
    <row r="239" spans="1:22" x14ac:dyDescent="0.3">
      <c r="A239" s="11" t="s">
        <v>679</v>
      </c>
      <c r="B239" s="2">
        <v>45266</v>
      </c>
      <c r="C239" s="2" t="str" cm="1">
        <f t="array" ref="C23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39">
        <f>YEAR(AllDataApr[[#This Row],[Date]])</f>
        <v>2023</v>
      </c>
      <c r="E239" s="1">
        <v>0.59583333333333333</v>
      </c>
      <c r="F239" s="2" t="str">
        <f>IF(AND(AllDataApr[[#This Row],[Time]]&lt;0.5, AllDataApr[[#This Row],[Time]]&gt;0.17)=TRUE, "Morning", IF(AND(AllDataApr[[#This Row],[Time]]&lt;0.75, AllDataApr[[#This Row],[Time]]&gt;=0.5)=TRUE, "Afternoon", IF(AND(AllDataApr[[#This Row],[Time]]&lt;1, AllDataApr[[#This Row],[Time]]&gt;=0.75)=TRUE, "Evening", "Night")))</f>
        <v>Afternoon</v>
      </c>
      <c r="G239" t="s">
        <v>156</v>
      </c>
      <c r="H239" t="str">
        <f>_xlfn.XLOOKUP(AllDataApr[[#This Row],[Location Name]], Locations[Row Labels],Locations[Group As])</f>
        <v>Swiffen Bank</v>
      </c>
      <c r="I239" t="str">
        <f>_xlfn.XLOOKUP(AllDataApr[[#This Row],[Site Name]],LocationsKey[Site Name],LocationsKey[Region])</f>
        <v>Stratford</v>
      </c>
      <c r="J239" t="str">
        <f>_xlfn.XLOOKUP(AllDataApr[[#This Row],[Site Name]],LocationsKey[Site Name], LocationsKey[Waterway])</f>
        <v>Avon</v>
      </c>
      <c r="K239" t="s">
        <v>130</v>
      </c>
      <c r="L239">
        <v>52.206339</v>
      </c>
      <c r="M239">
        <v>-1.6550020000000001</v>
      </c>
      <c r="N239" t="s">
        <v>18</v>
      </c>
      <c r="O239">
        <v>47.5</v>
      </c>
      <c r="P239">
        <v>6.1</v>
      </c>
      <c r="Q239">
        <v>2</v>
      </c>
      <c r="R239" s="7" t="str">
        <f>IF(AllDataApr[[#This Row],[Nitrate (PPM)]]&gt;2, "Very high", IF(AllDataApr[[#This Row],[Nitrate (PPM)]]&gt;1, "High", IF(AllDataApr[[#This Row],[Nitrate (PPM)]]&gt;0.5, "Some evidence", IF(AllDataApr[[#This Row],[Nitrate (PPM)]]&gt;0, "No evidence", IF(AllDataApr[[#This Row],[Nitrate (PPM)]]=0, "")))))</f>
        <v>High</v>
      </c>
      <c r="S239">
        <v>0.71</v>
      </c>
      <c r="T239" s="7" t="str">
        <f>IF(AllDataApr[[#This Row],[Phosphate (PPM)]]&gt;0.5, "Very high", IF(AllDataApr[[#This Row],[Phosphate (PPM)]]&gt;0.1, "High", IF(AllDataApr[[#This Row],[Phosphate (PPM)]]&gt;0.05, "Some evidence", IF(AllDataApr[[#This Row],[Phosphate (PPM)]]=0, ""))))</f>
        <v>Very high</v>
      </c>
      <c r="U239">
        <v>1</v>
      </c>
      <c r="V239" t="s">
        <v>171</v>
      </c>
    </row>
    <row r="240" spans="1:22" x14ac:dyDescent="0.3">
      <c r="A240" t="s">
        <v>670</v>
      </c>
      <c r="B240" s="2">
        <v>45266</v>
      </c>
      <c r="C240" s="2" t="str" cm="1">
        <f t="array" ref="C24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40">
        <f>YEAR(AllDataApr[[#This Row],[Date]])</f>
        <v>2023</v>
      </c>
      <c r="E240" s="1">
        <v>0.66666666666666663</v>
      </c>
      <c r="F240" s="2" t="str">
        <f>IF(AND(AllDataApr[[#This Row],[Time]]&lt;0.5, AllDataApr[[#This Row],[Time]]&gt;0.17)=TRUE, "Morning", IF(AND(AllDataApr[[#This Row],[Time]]&lt;0.75, AllDataApr[[#This Row],[Time]]&gt;=0.5)=TRUE, "Afternoon", IF(AND(AllDataApr[[#This Row],[Time]]&lt;1, AllDataApr[[#This Row],[Time]]&gt;=0.75)=TRUE, "Evening", "Night")))</f>
        <v>Afternoon</v>
      </c>
      <c r="G240" t="s">
        <v>57</v>
      </c>
      <c r="H240" t="str">
        <f>_xlfn.XLOOKUP(AllDataApr[[#This Row],[Location Name]], Locations[Row Labels],Locations[Group As])</f>
        <v>Stour Newbold Mill</v>
      </c>
      <c r="I240" t="str">
        <f>_xlfn.XLOOKUP(AllDataApr[[#This Row],[Site Name]],LocationsKey[Site Name],LocationsKey[Region])</f>
        <v>Shipston</v>
      </c>
      <c r="J240" t="str">
        <f>_xlfn.XLOOKUP(AllDataApr[[#This Row],[Site Name]],LocationsKey[Site Name], LocationsKey[Waterway])</f>
        <v>Stour</v>
      </c>
      <c r="K240" t="s">
        <v>66</v>
      </c>
      <c r="L240">
        <v>52.112848</v>
      </c>
      <c r="M240">
        <v>-1.633432</v>
      </c>
      <c r="N240" t="s">
        <v>42</v>
      </c>
      <c r="O240">
        <v>537</v>
      </c>
      <c r="P240">
        <v>8.4</v>
      </c>
      <c r="Q240">
        <v>5</v>
      </c>
      <c r="R240" s="7" t="str">
        <f>IF(AllDataApr[[#This Row],[Nitrate (PPM)]]&gt;2, "Very high", IF(AllDataApr[[#This Row],[Nitrate (PPM)]]&gt;1, "High", IF(AllDataApr[[#This Row],[Nitrate (PPM)]]&gt;0.5, "Some evidence", IF(AllDataApr[[#This Row],[Nitrate (PPM)]]&gt;0, "No evidence", IF(AllDataApr[[#This Row],[Nitrate (PPM)]]=0, "")))))</f>
        <v>Very high</v>
      </c>
      <c r="S240">
        <v>0.12</v>
      </c>
      <c r="T240" s="7" t="str">
        <f>IF(AllDataApr[[#This Row],[Phosphate (PPM)]]&gt;0.5, "Very high", IF(AllDataApr[[#This Row],[Phosphate (PPM)]]&gt;0.1, "High", IF(AllDataApr[[#This Row],[Phosphate (PPM)]]&gt;0.05, "Some evidence", IF(AllDataApr[[#This Row],[Phosphate (PPM)]]=0, ""))))</f>
        <v>High</v>
      </c>
      <c r="U240">
        <v>3</v>
      </c>
      <c r="V240" t="s">
        <v>170</v>
      </c>
    </row>
    <row r="241" spans="1:22" x14ac:dyDescent="0.3">
      <c r="A241" t="s">
        <v>674</v>
      </c>
      <c r="B241" s="2">
        <v>45268</v>
      </c>
      <c r="C241" s="2" t="str" cm="1">
        <f t="array" ref="C24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41">
        <f>YEAR(AllDataApr[[#This Row],[Date]])</f>
        <v>2023</v>
      </c>
      <c r="E241" s="1">
        <v>0.4375</v>
      </c>
      <c r="F241" s="2" t="str">
        <f>IF(AND(AllDataApr[[#This Row],[Time]]&lt;0.5, AllDataApr[[#This Row],[Time]]&gt;0.17)=TRUE, "Morning", IF(AND(AllDataApr[[#This Row],[Time]]&lt;0.75, AllDataApr[[#This Row],[Time]]&gt;=0.5)=TRUE, "Afternoon", IF(AND(AllDataApr[[#This Row],[Time]]&lt;1, AllDataApr[[#This Row],[Time]]&gt;=0.75)=TRUE, "Evening", "Night")))</f>
        <v>Morning</v>
      </c>
      <c r="G241" t="s">
        <v>46</v>
      </c>
      <c r="H241" t="str">
        <f>_xlfn.XLOOKUP(AllDataApr[[#This Row],[Location Name]], Locations[Row Labels],Locations[Group As])</f>
        <v>Swilgate</v>
      </c>
      <c r="I241" t="str">
        <f>_xlfn.XLOOKUP(AllDataApr[[#This Row],[Site Name]],LocationsKey[Site Name],LocationsKey[Region])</f>
        <v>Tewkesbury</v>
      </c>
      <c r="J241" t="str">
        <f>_xlfn.XLOOKUP(AllDataApr[[#This Row],[Site Name]],LocationsKey[Site Name], LocationsKey[Waterway])</f>
        <v>Swilgate</v>
      </c>
      <c r="K241" t="s">
        <v>164</v>
      </c>
      <c r="N241" t="s">
        <v>200</v>
      </c>
      <c r="O241">
        <v>769</v>
      </c>
      <c r="P241">
        <v>8</v>
      </c>
      <c r="Q241">
        <v>4</v>
      </c>
      <c r="R241" s="7" t="str">
        <f>IF(AllDataApr[[#This Row],[Nitrate (PPM)]]&gt;2, "Very high", IF(AllDataApr[[#This Row],[Nitrate (PPM)]]&gt;1, "High", IF(AllDataApr[[#This Row],[Nitrate (PPM)]]&gt;0.5, "Some evidence", IF(AllDataApr[[#This Row],[Nitrate (PPM)]]&gt;0, "No evidence", IF(AllDataApr[[#This Row],[Nitrate (PPM)]]=0, "")))))</f>
        <v>Very high</v>
      </c>
      <c r="S241">
        <v>0.45</v>
      </c>
      <c r="T241" s="7" t="str">
        <f>IF(AllDataApr[[#This Row],[Phosphate (PPM)]]&gt;0.5, "Very high", IF(AllDataApr[[#This Row],[Phosphate (PPM)]]&gt;0.1, "High", IF(AllDataApr[[#This Row],[Phosphate (PPM)]]&gt;0.05, "Some evidence", IF(AllDataApr[[#This Row],[Phosphate (PPM)]]=0, ""))))</f>
        <v>High</v>
      </c>
      <c r="U241">
        <v>2</v>
      </c>
      <c r="V241" t="s">
        <v>173</v>
      </c>
    </row>
    <row r="242" spans="1:22" x14ac:dyDescent="0.3">
      <c r="A242" t="s">
        <v>676</v>
      </c>
      <c r="B242" s="2">
        <v>45269</v>
      </c>
      <c r="C242" s="2" t="str" cm="1">
        <f t="array" ref="C24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42">
        <f>YEAR(AllDataApr[[#This Row],[Date]])</f>
        <v>2023</v>
      </c>
      <c r="E242" s="1">
        <v>0.46527777777777779</v>
      </c>
      <c r="F242" s="2" t="str">
        <f>IF(AND(AllDataApr[[#This Row],[Time]]&lt;0.5, AllDataApr[[#This Row],[Time]]&gt;0.17)=TRUE, "Morning", IF(AND(AllDataApr[[#This Row],[Time]]&lt;0.75, AllDataApr[[#This Row],[Time]]&gt;=0.5)=TRUE, "Afternoon", IF(AND(AllDataApr[[#This Row],[Time]]&lt;1, AllDataApr[[#This Row],[Time]]&gt;=0.75)=TRUE, "Evening", "Night")))</f>
        <v>Morning</v>
      </c>
      <c r="G242" t="s">
        <v>38</v>
      </c>
      <c r="H242" t="str">
        <f>_xlfn.XLOOKUP(AllDataApr[[#This Row],[Location Name]], Locations[Row Labels],Locations[Group As])</f>
        <v>Pitch 16</v>
      </c>
      <c r="I242" t="str">
        <f>_xlfn.XLOOKUP(AllDataApr[[#This Row],[Site Name]],LocationsKey[Site Name],LocationsKey[Region])</f>
        <v>Stratford</v>
      </c>
      <c r="J242" t="str">
        <f>_xlfn.XLOOKUP(AllDataApr[[#This Row],[Site Name]],LocationsKey[Site Name], LocationsKey[Waterway])</f>
        <v>Avon</v>
      </c>
      <c r="K242" t="s">
        <v>39</v>
      </c>
      <c r="L242">
        <v>52.172606999999999</v>
      </c>
      <c r="M242">
        <v>-1.745406</v>
      </c>
      <c r="N242" t="s">
        <v>18</v>
      </c>
      <c r="O242">
        <v>605</v>
      </c>
      <c r="P242">
        <v>10.3</v>
      </c>
      <c r="Q242">
        <v>5</v>
      </c>
      <c r="R242" s="7" t="str">
        <f>IF(AllDataApr[[#This Row],[Nitrate (PPM)]]&gt;2, "Very high", IF(AllDataApr[[#This Row],[Nitrate (PPM)]]&gt;1, "High", IF(AllDataApr[[#This Row],[Nitrate (PPM)]]&gt;0.5, "Some evidence", IF(AllDataApr[[#This Row],[Nitrate (PPM)]]&gt;0, "No evidence", IF(AllDataApr[[#This Row],[Nitrate (PPM)]]=0, "")))))</f>
        <v>Very high</v>
      </c>
      <c r="S242">
        <v>0.57999999999999996</v>
      </c>
      <c r="T242" s="7" t="str">
        <f>IF(AllDataApr[[#This Row],[Phosphate (PPM)]]&gt;0.5, "Very high", IF(AllDataApr[[#This Row],[Phosphate (PPM)]]&gt;0.1, "High", IF(AllDataApr[[#This Row],[Phosphate (PPM)]]&gt;0.05, "Some evidence", IF(AllDataApr[[#This Row],[Phosphate (PPM)]]=0, ""))))</f>
        <v>Very high</v>
      </c>
      <c r="U242">
        <v>1.2</v>
      </c>
      <c r="V242" t="s">
        <v>174</v>
      </c>
    </row>
    <row r="243" spans="1:22" x14ac:dyDescent="0.3">
      <c r="A243" t="s">
        <v>675</v>
      </c>
      <c r="B243" s="2">
        <v>45269</v>
      </c>
      <c r="C243" s="2" t="str" cm="1">
        <f t="array" ref="C24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43">
        <f>YEAR(AllDataApr[[#This Row],[Date]])</f>
        <v>2023</v>
      </c>
      <c r="E243" s="1">
        <v>0.48472222222222222</v>
      </c>
      <c r="F243" s="2" t="str">
        <f>IF(AND(AllDataApr[[#This Row],[Time]]&lt;0.5, AllDataApr[[#This Row],[Time]]&gt;0.17)=TRUE, "Morning", IF(AND(AllDataApr[[#This Row],[Time]]&lt;0.75, AllDataApr[[#This Row],[Time]]&gt;=0.5)=TRUE, "Afternoon", IF(AND(AllDataApr[[#This Row],[Time]]&lt;1, AllDataApr[[#This Row],[Time]]&gt;=0.75)=TRUE, "Evening", "Night")))</f>
        <v>Morning</v>
      </c>
      <c r="G243" t="s">
        <v>38</v>
      </c>
      <c r="H243" t="str">
        <f>_xlfn.XLOOKUP(AllDataApr[[#This Row],[Location Name]], Locations[Row Labels],Locations[Group As])</f>
        <v>Avonbank Drive</v>
      </c>
      <c r="I243" t="str">
        <f>_xlfn.XLOOKUP(AllDataApr[[#This Row],[Site Name]],LocationsKey[Site Name],LocationsKey[Region])</f>
        <v>Stratford</v>
      </c>
      <c r="J243" t="str">
        <f>_xlfn.XLOOKUP(AllDataApr[[#This Row],[Site Name]],LocationsKey[Site Name], LocationsKey[Waterway])</f>
        <v>Avon</v>
      </c>
      <c r="K243" t="s">
        <v>41</v>
      </c>
      <c r="L243">
        <v>52.177146</v>
      </c>
      <c r="M243">
        <v>-1.735806</v>
      </c>
      <c r="N243" t="s">
        <v>42</v>
      </c>
      <c r="O243">
        <v>615</v>
      </c>
      <c r="P243">
        <v>9.3000000000000007</v>
      </c>
      <c r="Q243">
        <v>5</v>
      </c>
      <c r="R243" s="7" t="str">
        <f>IF(AllDataApr[[#This Row],[Nitrate (PPM)]]&gt;2, "Very high", IF(AllDataApr[[#This Row],[Nitrate (PPM)]]&gt;1, "High", IF(AllDataApr[[#This Row],[Nitrate (PPM)]]&gt;0.5, "Some evidence", IF(AllDataApr[[#This Row],[Nitrate (PPM)]]&gt;0, "No evidence", IF(AllDataApr[[#This Row],[Nitrate (PPM)]]=0, "")))))</f>
        <v>Very high</v>
      </c>
      <c r="S243">
        <v>0.65</v>
      </c>
      <c r="T243" s="7" t="str">
        <f>IF(AllDataApr[[#This Row],[Phosphate (PPM)]]&gt;0.5, "Very high", IF(AllDataApr[[#This Row],[Phosphate (PPM)]]&gt;0.1, "High", IF(AllDataApr[[#This Row],[Phosphate (PPM)]]&gt;0.05, "Some evidence", IF(AllDataApr[[#This Row],[Phosphate (PPM)]]=0, ""))))</f>
        <v>Very high</v>
      </c>
      <c r="U243">
        <v>1.2</v>
      </c>
    </row>
    <row r="244" spans="1:22" x14ac:dyDescent="0.3">
      <c r="A244" t="s">
        <v>662</v>
      </c>
      <c r="B244" s="2">
        <v>45269</v>
      </c>
      <c r="C244" s="2" t="str" cm="1">
        <f t="array" ref="C24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44">
        <f>YEAR(AllDataApr[[#This Row],[Date]])</f>
        <v>2023</v>
      </c>
      <c r="E244" s="1">
        <v>0.54166666666666663</v>
      </c>
      <c r="F244" s="2" t="str">
        <f>IF(AND(AllDataApr[[#This Row],[Time]]&lt;0.5, AllDataApr[[#This Row],[Time]]&gt;0.17)=TRUE, "Morning", IF(AND(AllDataApr[[#This Row],[Time]]&lt;0.75, AllDataApr[[#This Row],[Time]]&gt;=0.5)=TRUE, "Afternoon", IF(AND(AllDataApr[[#This Row],[Time]]&lt;1, AllDataApr[[#This Row],[Time]]&gt;=0.75)=TRUE, "Evening", "Night")))</f>
        <v>Afternoon</v>
      </c>
      <c r="G244" t="s">
        <v>95</v>
      </c>
      <c r="H244" t="str">
        <f>_xlfn.XLOOKUP(AllDataApr[[#This Row],[Location Name]], Locations[Row Labels],Locations[Group As])</f>
        <v>Hampton Lucy</v>
      </c>
      <c r="I244" t="str">
        <f>_xlfn.XLOOKUP(AllDataApr[[#This Row],[Site Name]],LocationsKey[Site Name],LocationsKey[Region])</f>
        <v>Stratford</v>
      </c>
      <c r="J244" t="str">
        <f>_xlfn.XLOOKUP(AllDataApr[[#This Row],[Site Name]],LocationsKey[Site Name], LocationsKey[Waterway])</f>
        <v>Avon</v>
      </c>
      <c r="K244" t="s">
        <v>27</v>
      </c>
      <c r="L244">
        <v>52.211680000000001</v>
      </c>
      <c r="M244">
        <v>-1.6244400000000001</v>
      </c>
      <c r="N244" t="s">
        <v>200</v>
      </c>
      <c r="O244">
        <v>590</v>
      </c>
      <c r="P244">
        <v>8.8000000000000007</v>
      </c>
      <c r="Q244">
        <v>15</v>
      </c>
      <c r="R244" s="7" t="str">
        <f>IF(AllDataApr[[#This Row],[Nitrate (PPM)]]&gt;2, "Very high", IF(AllDataApr[[#This Row],[Nitrate (PPM)]]&gt;1, "High", IF(AllDataApr[[#This Row],[Nitrate (PPM)]]&gt;0.5, "Some evidence", IF(AllDataApr[[#This Row],[Nitrate (PPM)]]&gt;0, "No evidence", IF(AllDataApr[[#This Row],[Nitrate (PPM)]]=0, "")))))</f>
        <v>Very high</v>
      </c>
      <c r="S244">
        <v>0.4</v>
      </c>
      <c r="T244" s="7" t="str">
        <f>IF(AllDataApr[[#This Row],[Phosphate (PPM)]]&gt;0.5, "Very high", IF(AllDataApr[[#This Row],[Phosphate (PPM)]]&gt;0.1, "High", IF(AllDataApr[[#This Row],[Phosphate (PPM)]]&gt;0.05, "Some evidence", IF(AllDataApr[[#This Row],[Phosphate (PPM)]]=0, ""))))</f>
        <v>High</v>
      </c>
      <c r="U244">
        <v>0</v>
      </c>
    </row>
    <row r="245" spans="1:22" x14ac:dyDescent="0.3">
      <c r="A245" t="s">
        <v>678</v>
      </c>
      <c r="B245" s="2">
        <v>45269</v>
      </c>
      <c r="C245" s="2" t="str" cm="1">
        <f t="array" ref="C24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45">
        <f>YEAR(AllDataApr[[#This Row],[Date]])</f>
        <v>2023</v>
      </c>
      <c r="E245" s="1">
        <v>0.55486111111111114</v>
      </c>
      <c r="F245" s="2" t="str">
        <f>IF(AND(AllDataApr[[#This Row],[Time]]&lt;0.5, AllDataApr[[#This Row],[Time]]&gt;0.17)=TRUE, "Morning", IF(AND(AllDataApr[[#This Row],[Time]]&lt;0.75, AllDataApr[[#This Row],[Time]]&gt;=0.5)=TRUE, "Afternoon", IF(AND(AllDataApr[[#This Row],[Time]]&lt;1, AllDataApr[[#This Row],[Time]]&gt;=0.75)=TRUE, "Evening", "Night")))</f>
        <v>Afternoon</v>
      </c>
      <c r="G245" t="s">
        <v>59</v>
      </c>
      <c r="H245" t="str">
        <f>_xlfn.XLOOKUP(AllDataApr[[#This Row],[Location Name]], Locations[Row Labels],Locations[Group As])</f>
        <v>Preston-on-Stour River Bridge</v>
      </c>
      <c r="I245" t="str">
        <f>_xlfn.XLOOKUP(AllDataApr[[#This Row],[Site Name]],LocationsKey[Site Name],LocationsKey[Region])</f>
        <v>Stratford</v>
      </c>
      <c r="J245" t="str">
        <f>_xlfn.XLOOKUP(AllDataApr[[#This Row],[Site Name]],LocationsKey[Site Name], LocationsKey[Waterway])</f>
        <v>Stour</v>
      </c>
      <c r="K245" t="s">
        <v>78</v>
      </c>
      <c r="L245">
        <v>52.146559000000003</v>
      </c>
      <c r="M245">
        <v>-1.6990810000000001</v>
      </c>
      <c r="N245" t="s">
        <v>18</v>
      </c>
      <c r="O245">
        <v>525</v>
      </c>
      <c r="P245">
        <v>9.1999999999999993</v>
      </c>
      <c r="Q245">
        <v>5</v>
      </c>
      <c r="R245" s="7" t="str">
        <f>IF(AllDataApr[[#This Row],[Nitrate (PPM)]]&gt;2, "Very high", IF(AllDataApr[[#This Row],[Nitrate (PPM)]]&gt;1, "High", IF(AllDataApr[[#This Row],[Nitrate (PPM)]]&gt;0.5, "Some evidence", IF(AllDataApr[[#This Row],[Nitrate (PPM)]]&gt;0, "No evidence", IF(AllDataApr[[#This Row],[Nitrate (PPM)]]=0, "")))))</f>
        <v>Very high</v>
      </c>
      <c r="S245">
        <v>0.3</v>
      </c>
      <c r="T245" s="7" t="str">
        <f>IF(AllDataApr[[#This Row],[Phosphate (PPM)]]&gt;0.5, "Very high", IF(AllDataApr[[#This Row],[Phosphate (PPM)]]&gt;0.1, "High", IF(AllDataApr[[#This Row],[Phosphate (PPM)]]&gt;0.05, "Some evidence", IF(AllDataApr[[#This Row],[Phosphate (PPM)]]=0, ""))))</f>
        <v>High</v>
      </c>
      <c r="U245">
        <v>2.5</v>
      </c>
      <c r="V245" t="s">
        <v>175</v>
      </c>
    </row>
    <row r="246" spans="1:22" x14ac:dyDescent="0.3">
      <c r="A246" t="s">
        <v>677</v>
      </c>
      <c r="B246" s="2">
        <v>45269</v>
      </c>
      <c r="C246" s="2" t="str" cm="1">
        <f t="array" ref="C24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46">
        <f>YEAR(AllDataApr[[#This Row],[Date]])</f>
        <v>2023</v>
      </c>
      <c r="E246" s="1">
        <v>0.55833333333333335</v>
      </c>
      <c r="F246" s="2" t="str">
        <f>IF(AND(AllDataApr[[#This Row],[Time]]&lt;0.5, AllDataApr[[#This Row],[Time]]&gt;0.17)=TRUE, "Morning", IF(AND(AllDataApr[[#This Row],[Time]]&lt;0.75, AllDataApr[[#This Row],[Time]]&gt;=0.5)=TRUE, "Afternoon", IF(AND(AllDataApr[[#This Row],[Time]]&lt;1, AllDataApr[[#This Row],[Time]]&gt;=0.75)=TRUE, "Evening", "Night")))</f>
        <v>Afternoon</v>
      </c>
      <c r="G246" t="s">
        <v>55</v>
      </c>
      <c r="H246" t="str">
        <f>_xlfn.XLOOKUP(AllDataApr[[#This Row],[Location Name]], Locations[Row Labels],Locations[Group As])</f>
        <v>Fell Mill Footbridge</v>
      </c>
      <c r="I246" t="str">
        <f>_xlfn.XLOOKUP(AllDataApr[[#This Row],[Site Name]],LocationsKey[Site Name],LocationsKey[Region])</f>
        <v>Shipston</v>
      </c>
      <c r="J246" t="str">
        <f>_xlfn.XLOOKUP(AllDataApr[[#This Row],[Site Name]],LocationsKey[Site Name], LocationsKey[Waterway])</f>
        <v>Stour</v>
      </c>
      <c r="K246" t="s">
        <v>926</v>
      </c>
      <c r="L246">
        <v>52.070126999999999</v>
      </c>
      <c r="M246">
        <v>-1.611599</v>
      </c>
      <c r="N246" t="s">
        <v>18</v>
      </c>
      <c r="O246">
        <v>369</v>
      </c>
      <c r="P246">
        <v>9.8000000000000007</v>
      </c>
      <c r="Q246">
        <v>2</v>
      </c>
      <c r="R246" s="7" t="str">
        <f>IF(AllDataApr[[#This Row],[Nitrate (PPM)]]&gt;2, "Very high", IF(AllDataApr[[#This Row],[Nitrate (PPM)]]&gt;1, "High", IF(AllDataApr[[#This Row],[Nitrate (PPM)]]&gt;0.5, "Some evidence", IF(AllDataApr[[#This Row],[Nitrate (PPM)]]&gt;0, "No evidence", IF(AllDataApr[[#This Row],[Nitrate (PPM)]]=0, "")))))</f>
        <v>High</v>
      </c>
      <c r="S246">
        <v>0.57999999999999996</v>
      </c>
      <c r="T246" s="7" t="str">
        <f>IF(AllDataApr[[#This Row],[Phosphate (PPM)]]&gt;0.5, "Very high", IF(AllDataApr[[#This Row],[Phosphate (PPM)]]&gt;0.1, "High", IF(AllDataApr[[#This Row],[Phosphate (PPM)]]&gt;0.05, "Some evidence", IF(AllDataApr[[#This Row],[Phosphate (PPM)]]=0, ""))))</f>
        <v>Very high</v>
      </c>
      <c r="U246">
        <v>5</v>
      </c>
      <c r="V246" t="s">
        <v>1011</v>
      </c>
    </row>
    <row r="247" spans="1:22" x14ac:dyDescent="0.3">
      <c r="A247" t="s">
        <v>583</v>
      </c>
      <c r="B247" s="2">
        <v>45269</v>
      </c>
      <c r="C247" s="2" t="str" cm="1">
        <f t="array" ref="C24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47">
        <f>YEAR(AllDataApr[[#This Row],[Date]])</f>
        <v>2023</v>
      </c>
      <c r="E247" s="1">
        <v>0.625</v>
      </c>
      <c r="F247" s="2" t="str">
        <f>IF(AND(AllDataApr[[#This Row],[Time]]&lt;0.5, AllDataApr[[#This Row],[Time]]&gt;0.17)=TRUE, "Morning", IF(AND(AllDataApr[[#This Row],[Time]]&lt;0.75, AllDataApr[[#This Row],[Time]]&gt;=0.5)=TRUE, "Afternoon", IF(AND(AllDataApr[[#This Row],[Time]]&lt;1, AllDataApr[[#This Row],[Time]]&gt;=0.75)=TRUE, "Evening", "Night")))</f>
        <v>Afternoon</v>
      </c>
      <c r="G247" t="s">
        <v>112</v>
      </c>
      <c r="H247" t="str">
        <f>_xlfn.XLOOKUP(AllDataApr[[#This Row],[Location Name]], Locations[Row Labels],Locations[Group As])</f>
        <v>Clifford Chambers Mill Bridge</v>
      </c>
      <c r="I247" t="str">
        <f>_xlfn.XLOOKUP(AllDataApr[[#This Row],[Site Name]],LocationsKey[Site Name],LocationsKey[Region])</f>
        <v>Stratford</v>
      </c>
      <c r="J247" t="str">
        <f>_xlfn.XLOOKUP(AllDataApr[[#This Row],[Site Name]],LocationsKey[Site Name], LocationsKey[Waterway])</f>
        <v>Stour</v>
      </c>
      <c r="K247" t="s">
        <v>119</v>
      </c>
      <c r="L247">
        <v>52.166370000000001</v>
      </c>
      <c r="M247">
        <v>-1.708032</v>
      </c>
      <c r="N247" t="s">
        <v>1047</v>
      </c>
      <c r="O247">
        <v>504</v>
      </c>
      <c r="P247">
        <v>12.7</v>
      </c>
      <c r="Q247">
        <v>5</v>
      </c>
      <c r="R247" s="7" t="str">
        <f>IF(AllDataApr[[#This Row],[Nitrate (PPM)]]&gt;2, "Very high", IF(AllDataApr[[#This Row],[Nitrate (PPM)]]&gt;1, "High", IF(AllDataApr[[#This Row],[Nitrate (PPM)]]&gt;0.5, "Some evidence", IF(AllDataApr[[#This Row],[Nitrate (PPM)]]&gt;0, "No evidence", IF(AllDataApr[[#This Row],[Nitrate (PPM)]]=0, "")))))</f>
        <v>Very high</v>
      </c>
      <c r="S247">
        <v>0.27</v>
      </c>
      <c r="T247" s="7" t="str">
        <f>IF(AllDataApr[[#This Row],[Phosphate (PPM)]]&gt;0.5, "Very high", IF(AllDataApr[[#This Row],[Phosphate (PPM)]]&gt;0.1, "High", IF(AllDataApr[[#This Row],[Phosphate (PPM)]]&gt;0.05, "Some evidence", IF(AllDataApr[[#This Row],[Phosphate (PPM)]]=0, ""))))</f>
        <v>High</v>
      </c>
      <c r="U247">
        <v>1.85</v>
      </c>
      <c r="V247" t="s">
        <v>238</v>
      </c>
    </row>
    <row r="248" spans="1:22" x14ac:dyDescent="0.3">
      <c r="A248" t="s">
        <v>573</v>
      </c>
      <c r="B248" s="2">
        <v>45269</v>
      </c>
      <c r="C248" s="2" t="str" cm="1">
        <f t="array" ref="C24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48">
        <f>YEAR(AllDataApr[[#This Row],[Date]])</f>
        <v>2023</v>
      </c>
      <c r="E248" s="1">
        <v>0.63888888888888884</v>
      </c>
      <c r="F248" s="2" t="str">
        <f>IF(AND(AllDataApr[[#This Row],[Time]]&lt;0.5, AllDataApr[[#This Row],[Time]]&gt;0.17)=TRUE, "Morning", IF(AND(AllDataApr[[#This Row],[Time]]&lt;0.75, AllDataApr[[#This Row],[Time]]&gt;=0.5)=TRUE, "Afternoon", IF(AND(AllDataApr[[#This Row],[Time]]&lt;1, AllDataApr[[#This Row],[Time]]&gt;=0.75)=TRUE, "Evening", "Night")))</f>
        <v>Afternoon</v>
      </c>
      <c r="G248" t="s">
        <v>112</v>
      </c>
      <c r="H248" t="str">
        <f>_xlfn.XLOOKUP(AllDataApr[[#This Row],[Location Name]], Locations[Row Labels],Locations[Group As])</f>
        <v>Clifford Chambers Road Bridge</v>
      </c>
      <c r="I248" t="str">
        <f>_xlfn.XLOOKUP(AllDataApr[[#This Row],[Site Name]],LocationsKey[Site Name],LocationsKey[Region])</f>
        <v>Stratford</v>
      </c>
      <c r="J248" t="str">
        <f>_xlfn.XLOOKUP(AllDataApr[[#This Row],[Site Name]],LocationsKey[Site Name], LocationsKey[Waterway])</f>
        <v>Stour</v>
      </c>
      <c r="K248" t="s">
        <v>226</v>
      </c>
      <c r="L248">
        <v>52.172840000000001</v>
      </c>
      <c r="M248">
        <v>-1.71377</v>
      </c>
      <c r="N248" t="s">
        <v>1047</v>
      </c>
      <c r="O248">
        <v>513</v>
      </c>
      <c r="P248">
        <v>12.9</v>
      </c>
      <c r="Q248">
        <v>5</v>
      </c>
      <c r="R248" s="7" t="str">
        <f>IF(AllDataApr[[#This Row],[Nitrate (PPM)]]&gt;2, "Very high", IF(AllDataApr[[#This Row],[Nitrate (PPM)]]&gt;1, "High", IF(AllDataApr[[#This Row],[Nitrate (PPM)]]&gt;0.5, "Some evidence", IF(AllDataApr[[#This Row],[Nitrate (PPM)]]&gt;0, "No evidence", IF(AllDataApr[[#This Row],[Nitrate (PPM)]]=0, "")))))</f>
        <v>Very high</v>
      </c>
      <c r="S248">
        <v>0.34</v>
      </c>
      <c r="T248" s="7" t="str">
        <f>IF(AllDataApr[[#This Row],[Phosphate (PPM)]]&gt;0.5, "Very high", IF(AllDataApr[[#This Row],[Phosphate (PPM)]]&gt;0.1, "High", IF(AllDataApr[[#This Row],[Phosphate (PPM)]]&gt;0.05, "Some evidence", IF(AllDataApr[[#This Row],[Phosphate (PPM)]]=0, ""))))</f>
        <v>High</v>
      </c>
      <c r="U248">
        <v>1.85</v>
      </c>
      <c r="V248" t="s">
        <v>237</v>
      </c>
    </row>
    <row r="249" spans="1:22" x14ac:dyDescent="0.3">
      <c r="A249" t="s">
        <v>658</v>
      </c>
      <c r="B249" s="2">
        <v>45270</v>
      </c>
      <c r="C249" s="2" t="str" cm="1">
        <f t="array" ref="C24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49">
        <f>YEAR(AllDataApr[[#This Row],[Date]])</f>
        <v>2023</v>
      </c>
      <c r="E249" s="1">
        <v>0.41666666666666669</v>
      </c>
      <c r="F249" s="2" t="str">
        <f>IF(AND(AllDataApr[[#This Row],[Time]]&lt;0.5, AllDataApr[[#This Row],[Time]]&gt;0.17)=TRUE, "Morning", IF(AND(AllDataApr[[#This Row],[Time]]&lt;0.75, AllDataApr[[#This Row],[Time]]&gt;=0.5)=TRUE, "Afternoon", IF(AND(AllDataApr[[#This Row],[Time]]&lt;1, AllDataApr[[#This Row],[Time]]&gt;=0.75)=TRUE, "Evening", "Night")))</f>
        <v>Morning</v>
      </c>
      <c r="G249" t="s">
        <v>100</v>
      </c>
      <c r="H249" t="str">
        <f>_xlfn.XLOOKUP(AllDataApr[[#This Row],[Location Name]], Locations[Row Labels],Locations[Group As])</f>
        <v>Barton</v>
      </c>
      <c r="I249" t="str">
        <f>_xlfn.XLOOKUP(AllDataApr[[#This Row],[Site Name]],LocationsKey[Site Name],LocationsKey[Region])</f>
        <v>Stratford</v>
      </c>
      <c r="J249" t="str">
        <f>_xlfn.XLOOKUP(AllDataApr[[#This Row],[Site Name]],LocationsKey[Site Name], LocationsKey[Waterway])</f>
        <v>Avon</v>
      </c>
      <c r="K249" t="s">
        <v>29</v>
      </c>
      <c r="L249">
        <v>52.161209999999997</v>
      </c>
      <c r="M249">
        <v>-1.8301499999999999</v>
      </c>
      <c r="N249" t="s">
        <v>18</v>
      </c>
      <c r="O249">
        <v>524</v>
      </c>
      <c r="P249">
        <v>7.5</v>
      </c>
      <c r="Q249">
        <v>5</v>
      </c>
      <c r="R249" s="7" t="str">
        <f>IF(AllDataApr[[#This Row],[Nitrate (PPM)]]&gt;2, "Very high", IF(AllDataApr[[#This Row],[Nitrate (PPM)]]&gt;1, "High", IF(AllDataApr[[#This Row],[Nitrate (PPM)]]&gt;0.5, "Some evidence", IF(AllDataApr[[#This Row],[Nitrate (PPM)]]&gt;0, "No evidence", IF(AllDataApr[[#This Row],[Nitrate (PPM)]]=0, "")))))</f>
        <v>Very high</v>
      </c>
      <c r="S249">
        <v>0.64</v>
      </c>
      <c r="T249" s="7" t="str">
        <f>IF(AllDataApr[[#This Row],[Phosphate (PPM)]]&gt;0.5, "Very high", IF(AllDataApr[[#This Row],[Phosphate (PPM)]]&gt;0.1, "High", IF(AllDataApr[[#This Row],[Phosphate (PPM)]]&gt;0.05, "Some evidence", IF(AllDataApr[[#This Row],[Phosphate (PPM)]]=0, ""))))</f>
        <v>Very high</v>
      </c>
      <c r="U249">
        <v>0</v>
      </c>
    </row>
    <row r="250" spans="1:22" x14ac:dyDescent="0.3">
      <c r="A250" t="s">
        <v>664</v>
      </c>
      <c r="B250" s="2">
        <v>45270</v>
      </c>
      <c r="C250" s="2" t="str" cm="1">
        <f t="array" ref="C25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50">
        <f>YEAR(AllDataApr[[#This Row],[Date]])</f>
        <v>2023</v>
      </c>
      <c r="E250" s="1">
        <v>0.51041666666666663</v>
      </c>
      <c r="F250" s="2" t="str">
        <f>IF(AND(AllDataApr[[#This Row],[Time]]&lt;0.5, AllDataApr[[#This Row],[Time]]&gt;0.17)=TRUE, "Morning", IF(AND(AllDataApr[[#This Row],[Time]]&lt;0.75, AllDataApr[[#This Row],[Time]]&gt;=0.5)=TRUE, "Afternoon", IF(AND(AllDataApr[[#This Row],[Time]]&lt;1, AllDataApr[[#This Row],[Time]]&gt;=0.75)=TRUE, "Evening", "Night")))</f>
        <v>Afternoon</v>
      </c>
      <c r="G250" t="s">
        <v>20</v>
      </c>
      <c r="H250" t="str">
        <f>_xlfn.XLOOKUP(AllDataApr[[#This Row],[Location Name]], Locations[Row Labels],Locations[Group As])</f>
        <v>Hampton Wood</v>
      </c>
      <c r="I250" t="str">
        <f>_xlfn.XLOOKUP(AllDataApr[[#This Row],[Site Name]],LocationsKey[Site Name],LocationsKey[Region])</f>
        <v>Stratford</v>
      </c>
      <c r="J250" t="str">
        <f>_xlfn.XLOOKUP(AllDataApr[[#This Row],[Site Name]],LocationsKey[Site Name], LocationsKey[Waterway])</f>
        <v>Avon</v>
      </c>
      <c r="K250" t="s">
        <v>25</v>
      </c>
      <c r="L250">
        <v>52.238149999999997</v>
      </c>
      <c r="M250">
        <v>-1.6245799999999999</v>
      </c>
      <c r="N250" t="s">
        <v>18</v>
      </c>
      <c r="O250">
        <v>536</v>
      </c>
      <c r="P250">
        <v>9</v>
      </c>
      <c r="Q250">
        <v>10</v>
      </c>
      <c r="R250" s="7" t="str">
        <f>IF(AllDataApr[[#This Row],[Nitrate (PPM)]]&gt;2, "Very high", IF(AllDataApr[[#This Row],[Nitrate (PPM)]]&gt;1, "High", IF(AllDataApr[[#This Row],[Nitrate (PPM)]]&gt;0.5, "Some evidence", IF(AllDataApr[[#This Row],[Nitrate (PPM)]]&gt;0, "No evidence", IF(AllDataApr[[#This Row],[Nitrate (PPM)]]=0, "")))))</f>
        <v>Very high</v>
      </c>
      <c r="S250">
        <v>0.37</v>
      </c>
      <c r="T250" s="7" t="str">
        <f>IF(AllDataApr[[#This Row],[Phosphate (PPM)]]&gt;0.5, "Very high", IF(AllDataApr[[#This Row],[Phosphate (PPM)]]&gt;0.1, "High", IF(AllDataApr[[#This Row],[Phosphate (PPM)]]&gt;0.05, "Some evidence", IF(AllDataApr[[#This Row],[Phosphate (PPM)]]=0, ""))))</f>
        <v>High</v>
      </c>
      <c r="U250">
        <v>0</v>
      </c>
    </row>
    <row r="251" spans="1:22" x14ac:dyDescent="0.3">
      <c r="A251" t="s">
        <v>656</v>
      </c>
      <c r="B251" s="2">
        <v>45270</v>
      </c>
      <c r="C251" s="2" t="str" cm="1">
        <f t="array" ref="C25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51">
        <f>YEAR(AllDataApr[[#This Row],[Date]])</f>
        <v>2023</v>
      </c>
      <c r="E251" s="1">
        <v>0.66666666666666663</v>
      </c>
      <c r="F251" s="2" t="str">
        <f>IF(AND(AllDataApr[[#This Row],[Time]]&lt;0.5, AllDataApr[[#This Row],[Time]]&gt;0.17)=TRUE, "Morning", IF(AND(AllDataApr[[#This Row],[Time]]&lt;0.75, AllDataApr[[#This Row],[Time]]&gt;=0.5)=TRUE, "Afternoon", IF(AND(AllDataApr[[#This Row],[Time]]&lt;1, AllDataApr[[#This Row],[Time]]&gt;=0.75)=TRUE, "Evening", "Night")))</f>
        <v>Afternoon</v>
      </c>
      <c r="G251" t="s">
        <v>199</v>
      </c>
      <c r="H251" t="str">
        <f>_xlfn.XLOOKUP(AllDataApr[[#This Row],[Location Name]], Locations[Row Labels],Locations[Group As])</f>
        <v>Stour Shipston Mill Bridge</v>
      </c>
      <c r="I251" t="str">
        <f>_xlfn.XLOOKUP(AllDataApr[[#This Row],[Site Name]],LocationsKey[Site Name],LocationsKey[Region])</f>
        <v>Shipston</v>
      </c>
      <c r="J251" t="str">
        <f>_xlfn.XLOOKUP(AllDataApr[[#This Row],[Site Name]],LocationsKey[Site Name], LocationsKey[Waterway])</f>
        <v>Stour</v>
      </c>
      <c r="K251" t="s">
        <v>165</v>
      </c>
      <c r="L251">
        <v>52.062013999999998</v>
      </c>
      <c r="M251">
        <v>-1.6216660000000001</v>
      </c>
      <c r="N251" t="s">
        <v>200</v>
      </c>
      <c r="O251">
        <v>543</v>
      </c>
      <c r="P251">
        <v>9.3000000000000007</v>
      </c>
      <c r="Q251">
        <v>2</v>
      </c>
      <c r="R251" s="7" t="str">
        <f>IF(AllDataApr[[#This Row],[Nitrate (PPM)]]&gt;2, "Very high", IF(AllDataApr[[#This Row],[Nitrate (PPM)]]&gt;1, "High", IF(AllDataApr[[#This Row],[Nitrate (PPM)]]&gt;0.5, "Some evidence", IF(AllDataApr[[#This Row],[Nitrate (PPM)]]&gt;0, "No evidence", IF(AllDataApr[[#This Row],[Nitrate (PPM)]]=0, "")))))</f>
        <v>High</v>
      </c>
      <c r="S251">
        <v>0.23</v>
      </c>
      <c r="T251" s="7" t="str">
        <f>IF(AllDataApr[[#This Row],[Phosphate (PPM)]]&gt;0.5, "Very high", IF(AllDataApr[[#This Row],[Phosphate (PPM)]]&gt;0.1, "High", IF(AllDataApr[[#This Row],[Phosphate (PPM)]]&gt;0.05, "Some evidence", IF(AllDataApr[[#This Row],[Phosphate (PPM)]]=0, ""))))</f>
        <v>High</v>
      </c>
      <c r="U251">
        <v>3</v>
      </c>
    </row>
    <row r="252" spans="1:22" x14ac:dyDescent="0.3">
      <c r="A252" t="s">
        <v>660</v>
      </c>
      <c r="B252" s="2">
        <v>45270</v>
      </c>
      <c r="C252" s="2" t="str" cm="1">
        <f t="array" ref="C25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52">
        <f>YEAR(AllDataApr[[#This Row],[Date]])</f>
        <v>2023</v>
      </c>
      <c r="E252" s="1">
        <v>0.66666666666666663</v>
      </c>
      <c r="F252" s="2" t="str">
        <f>IF(AND(AllDataApr[[#This Row],[Time]]&lt;0.5, AllDataApr[[#This Row],[Time]]&gt;0.17)=TRUE, "Morning", IF(AND(AllDataApr[[#This Row],[Time]]&lt;0.75, AllDataApr[[#This Row],[Time]]&gt;=0.5)=TRUE, "Afternoon", IF(AND(AllDataApr[[#This Row],[Time]]&lt;1, AllDataApr[[#This Row],[Time]]&gt;=0.75)=TRUE, "Evening", "Night")))</f>
        <v>Afternoon</v>
      </c>
      <c r="G252" t="s">
        <v>35</v>
      </c>
      <c r="H252" t="str">
        <f>_xlfn.XLOOKUP(AllDataApr[[#This Row],[Location Name]], Locations[Row Labels],Locations[Group As])</f>
        <v>Welford Boat Station</v>
      </c>
      <c r="I252" t="str">
        <f>_xlfn.XLOOKUP(AllDataApr[[#This Row],[Site Name]],LocationsKey[Site Name],LocationsKey[Region])</f>
        <v>Stratford</v>
      </c>
      <c r="J252" t="str">
        <f>_xlfn.XLOOKUP(AllDataApr[[#This Row],[Site Name]],LocationsKey[Site Name], LocationsKey[Waterway])</f>
        <v>Avon</v>
      </c>
      <c r="K252" t="s">
        <v>22</v>
      </c>
      <c r="L252">
        <v>52.175240000000002</v>
      </c>
      <c r="M252">
        <v>-1.7918700000000001</v>
      </c>
      <c r="N252" t="s">
        <v>18</v>
      </c>
      <c r="O252">
        <v>538</v>
      </c>
      <c r="P252">
        <v>8.5</v>
      </c>
      <c r="Q252">
        <v>10</v>
      </c>
      <c r="R252" s="7" t="str">
        <f>IF(AllDataApr[[#This Row],[Nitrate (PPM)]]&gt;2, "Very high", IF(AllDataApr[[#This Row],[Nitrate (PPM)]]&gt;1, "High", IF(AllDataApr[[#This Row],[Nitrate (PPM)]]&gt;0.5, "Some evidence", IF(AllDataApr[[#This Row],[Nitrate (PPM)]]&gt;0, "No evidence", IF(AllDataApr[[#This Row],[Nitrate (PPM)]]=0, "")))))</f>
        <v>Very high</v>
      </c>
      <c r="S252">
        <v>0.6</v>
      </c>
      <c r="T252" s="7" t="str">
        <f>IF(AllDataApr[[#This Row],[Phosphate (PPM)]]&gt;0.5, "Very high", IF(AllDataApr[[#This Row],[Phosphate (PPM)]]&gt;0.1, "High", IF(AllDataApr[[#This Row],[Phosphate (PPM)]]&gt;0.05, "Some evidence", IF(AllDataApr[[#This Row],[Phosphate (PPM)]]=0, ""))))</f>
        <v>Very high</v>
      </c>
      <c r="U252">
        <v>0</v>
      </c>
    </row>
    <row r="253" spans="1:22" x14ac:dyDescent="0.3">
      <c r="A253" t="s">
        <v>673</v>
      </c>
      <c r="B253" s="2">
        <v>45270</v>
      </c>
      <c r="C253" s="2" t="str" cm="1">
        <f t="array" ref="C25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53">
        <f>YEAR(AllDataApr[[#This Row],[Date]])</f>
        <v>2023</v>
      </c>
      <c r="E253" s="1">
        <v>0.67777777777777781</v>
      </c>
      <c r="F253" s="2" t="str">
        <f>IF(AND(AllDataApr[[#This Row],[Time]]&lt;0.5, AllDataApr[[#This Row],[Time]]&gt;0.17)=TRUE, "Morning", IF(AND(AllDataApr[[#This Row],[Time]]&lt;0.75, AllDataApr[[#This Row],[Time]]&gt;=0.5)=TRUE, "Afternoon", IF(AND(AllDataApr[[#This Row],[Time]]&lt;1, AllDataApr[[#This Row],[Time]]&gt;=0.75)=TRUE, "Evening", "Night")))</f>
        <v>Afternoon</v>
      </c>
      <c r="G253" t="s">
        <v>11</v>
      </c>
      <c r="H253" t="str">
        <f>_xlfn.XLOOKUP(AllDataApr[[#This Row],[Location Name]], Locations[Row Labels],Locations[Group As])</f>
        <v>Abbey Mill</v>
      </c>
      <c r="I253" t="str">
        <f>_xlfn.XLOOKUP(AllDataApr[[#This Row],[Site Name]],LocationsKey[Site Name],LocationsKey[Region])</f>
        <v>Tewkesbury</v>
      </c>
      <c r="J253" t="str">
        <f>_xlfn.XLOOKUP(AllDataApr[[#This Row],[Site Name]],LocationsKey[Site Name], LocationsKey[Waterway])</f>
        <v>Avon</v>
      </c>
      <c r="K253" t="s">
        <v>12</v>
      </c>
      <c r="N253" t="s">
        <v>200</v>
      </c>
      <c r="O253">
        <v>512</v>
      </c>
      <c r="P253">
        <v>10.8</v>
      </c>
      <c r="Q253">
        <v>5</v>
      </c>
      <c r="R253" s="7" t="str">
        <f>IF(AllDataApr[[#This Row],[Nitrate (PPM)]]&gt;2, "Very high", IF(AllDataApr[[#This Row],[Nitrate (PPM)]]&gt;1, "High", IF(AllDataApr[[#This Row],[Nitrate (PPM)]]&gt;0.5, "Some evidence", IF(AllDataApr[[#This Row],[Nitrate (PPM)]]&gt;0, "No evidence", IF(AllDataApr[[#This Row],[Nitrate (PPM)]]=0, "")))))</f>
        <v>Very high</v>
      </c>
      <c r="S253">
        <v>0.76</v>
      </c>
      <c r="T253" s="7" t="str">
        <f>IF(AllDataApr[[#This Row],[Phosphate (PPM)]]&gt;0.5, "Very high", IF(AllDataApr[[#This Row],[Phosphate (PPM)]]&gt;0.1, "High", IF(AllDataApr[[#This Row],[Phosphate (PPM)]]&gt;0.05, "Some evidence", IF(AllDataApr[[#This Row],[Phosphate (PPM)]]=0, ""))))</f>
        <v>Very high</v>
      </c>
      <c r="U253">
        <v>2</v>
      </c>
      <c r="V253" t="s">
        <v>122</v>
      </c>
    </row>
    <row r="254" spans="1:22" x14ac:dyDescent="0.3">
      <c r="A254" t="s">
        <v>672</v>
      </c>
      <c r="B254" s="2">
        <v>45271</v>
      </c>
      <c r="C254" s="2" t="str" cm="1">
        <f t="array" ref="C25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54">
        <f>YEAR(AllDataApr[[#This Row],[Date]])</f>
        <v>2023</v>
      </c>
      <c r="E254" s="1">
        <v>0.36805555555555558</v>
      </c>
      <c r="F254" s="2" t="str">
        <f>IF(AND(AllDataApr[[#This Row],[Time]]&lt;0.5, AllDataApr[[#This Row],[Time]]&gt;0.17)=TRUE, "Morning", IF(AND(AllDataApr[[#This Row],[Time]]&lt;0.75, AllDataApr[[#This Row],[Time]]&gt;=0.5)=TRUE, "Afternoon", IF(AND(AllDataApr[[#This Row],[Time]]&lt;1, AllDataApr[[#This Row],[Time]]&gt;=0.75)=TRUE, "Evening", "Night")))</f>
        <v>Morning</v>
      </c>
      <c r="G254" t="s">
        <v>150</v>
      </c>
      <c r="H254" t="str">
        <f>_xlfn.XLOOKUP(AllDataApr[[#This Row],[Location Name]], Locations[Row Labels],Locations[Group As])</f>
        <v>Stour Stretton-on-Fosse Village</v>
      </c>
      <c r="I254" t="str">
        <f>_xlfn.XLOOKUP(AllDataApr[[#This Row],[Site Name]],LocationsKey[Site Name],LocationsKey[Region])</f>
        <v>Shipston</v>
      </c>
      <c r="J254" t="str">
        <f>_xlfn.XLOOKUP(AllDataApr[[#This Row],[Site Name]],LocationsKey[Site Name], LocationsKey[Waterway])</f>
        <v>Stour</v>
      </c>
      <c r="K254" t="s">
        <v>161</v>
      </c>
      <c r="L254">
        <v>52.046536000000003</v>
      </c>
      <c r="M254">
        <v>-1.6735249999999999</v>
      </c>
      <c r="N254" t="s">
        <v>42</v>
      </c>
      <c r="O254">
        <v>449</v>
      </c>
      <c r="P254">
        <v>8.8000000000000007</v>
      </c>
      <c r="Q254">
        <v>2</v>
      </c>
      <c r="R254" s="7" t="str">
        <f>IF(AllDataApr[[#This Row],[Nitrate (PPM)]]&gt;2, "Very high", IF(AllDataApr[[#This Row],[Nitrate (PPM)]]&gt;1, "High", IF(AllDataApr[[#This Row],[Nitrate (PPM)]]&gt;0.5, "Some evidence", IF(AllDataApr[[#This Row],[Nitrate (PPM)]]&gt;0, "No evidence", IF(AllDataApr[[#This Row],[Nitrate (PPM)]]=0, "")))))</f>
        <v>High</v>
      </c>
      <c r="S254">
        <v>0.6</v>
      </c>
      <c r="T254" s="7" t="str">
        <f>IF(AllDataApr[[#This Row],[Phosphate (PPM)]]&gt;0.5, "Very high", IF(AllDataApr[[#This Row],[Phosphate (PPM)]]&gt;0.1, "High", IF(AllDataApr[[#This Row],[Phosphate (PPM)]]&gt;0.05, "Some evidence", IF(AllDataApr[[#This Row],[Phosphate (PPM)]]=0, ""))))</f>
        <v>Very high</v>
      </c>
      <c r="U254">
        <v>0.4</v>
      </c>
    </row>
    <row r="255" spans="1:22" x14ac:dyDescent="0.3">
      <c r="A255" t="s">
        <v>671</v>
      </c>
      <c r="B255" s="2">
        <v>45271</v>
      </c>
      <c r="C255" s="2" t="str" cm="1">
        <f t="array" ref="C25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55">
        <f>YEAR(AllDataApr[[#This Row],[Date]])</f>
        <v>2023</v>
      </c>
      <c r="E255" s="1">
        <v>0.37916666666666665</v>
      </c>
      <c r="F255" s="2" t="str">
        <f>IF(AND(AllDataApr[[#This Row],[Time]]&lt;0.5, AllDataApr[[#This Row],[Time]]&gt;0.17)=TRUE, "Morning", IF(AND(AllDataApr[[#This Row],[Time]]&lt;0.75, AllDataApr[[#This Row],[Time]]&gt;=0.5)=TRUE, "Afternoon", IF(AND(AllDataApr[[#This Row],[Time]]&lt;1, AllDataApr[[#This Row],[Time]]&gt;=0.75)=TRUE, "Evening", "Night")))</f>
        <v>Morning</v>
      </c>
      <c r="G255" t="s">
        <v>150</v>
      </c>
      <c r="H255" t="str">
        <f>_xlfn.XLOOKUP(AllDataApr[[#This Row],[Location Name]], Locations[Row Labels],Locations[Group As])</f>
        <v>Stour Stretton-on-Fosse Sewage Works</v>
      </c>
      <c r="I255" t="str">
        <f>_xlfn.XLOOKUP(AllDataApr[[#This Row],[Site Name]],LocationsKey[Site Name],LocationsKey[Region])</f>
        <v>Shipston</v>
      </c>
      <c r="J255" t="str">
        <f>_xlfn.XLOOKUP(AllDataApr[[#This Row],[Site Name]],LocationsKey[Site Name], LocationsKey[Waterway])</f>
        <v>Stour</v>
      </c>
      <c r="K255" t="s">
        <v>151</v>
      </c>
      <c r="L255">
        <v>52.04569</v>
      </c>
      <c r="M255">
        <v>-1.6718980000000001</v>
      </c>
      <c r="N255" t="s">
        <v>18</v>
      </c>
      <c r="O255">
        <v>435</v>
      </c>
      <c r="P255">
        <v>8.3000000000000007</v>
      </c>
      <c r="Q255">
        <v>2</v>
      </c>
      <c r="R255" s="7" t="str">
        <f>IF(AllDataApr[[#This Row],[Nitrate (PPM)]]&gt;2, "Very high", IF(AllDataApr[[#This Row],[Nitrate (PPM)]]&gt;1, "High", IF(AllDataApr[[#This Row],[Nitrate (PPM)]]&gt;0.5, "Some evidence", IF(AllDataApr[[#This Row],[Nitrate (PPM)]]&gt;0, "No evidence", IF(AllDataApr[[#This Row],[Nitrate (PPM)]]=0, "")))))</f>
        <v>High</v>
      </c>
      <c r="S255">
        <v>0.56999999999999995</v>
      </c>
      <c r="T255" s="7" t="str">
        <f>IF(AllDataApr[[#This Row],[Phosphate (PPM)]]&gt;0.5, "Very high", IF(AllDataApr[[#This Row],[Phosphate (PPM)]]&gt;0.1, "High", IF(AllDataApr[[#This Row],[Phosphate (PPM)]]&gt;0.05, "Some evidence", IF(AllDataApr[[#This Row],[Phosphate (PPM)]]=0, ""))))</f>
        <v>Very high</v>
      </c>
      <c r="U255">
        <v>0.6</v>
      </c>
    </row>
    <row r="256" spans="1:22" x14ac:dyDescent="0.3">
      <c r="A256" t="s">
        <v>669</v>
      </c>
      <c r="B256" s="2">
        <v>45271</v>
      </c>
      <c r="C256" s="2" t="str" cm="1">
        <f t="array" ref="C25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56">
        <f>YEAR(AllDataApr[[#This Row],[Date]])</f>
        <v>2023</v>
      </c>
      <c r="E256" s="1">
        <v>0.61458333333333337</v>
      </c>
      <c r="F256" s="2" t="str">
        <f>IF(AND(AllDataApr[[#This Row],[Time]]&lt;0.5, AllDataApr[[#This Row],[Time]]&gt;0.17)=TRUE, "Morning", IF(AND(AllDataApr[[#This Row],[Time]]&lt;0.75, AllDataApr[[#This Row],[Time]]&gt;=0.5)=TRUE, "Afternoon", IF(AND(AllDataApr[[#This Row],[Time]]&lt;1, AllDataApr[[#This Row],[Time]]&gt;=0.75)=TRUE, "Evening", "Night")))</f>
        <v>Afternoon</v>
      </c>
      <c r="G256" t="s">
        <v>52</v>
      </c>
      <c r="H256" t="str">
        <f>_xlfn.XLOOKUP(AllDataApr[[#This Row],[Location Name]], Locations[Row Labels],Locations[Group As])</f>
        <v>Carrant Bredon Rd</v>
      </c>
      <c r="I256" t="str">
        <f>_xlfn.XLOOKUP(AllDataApr[[#This Row],[Site Name]],LocationsKey[Site Name],LocationsKey[Region])</f>
        <v>Tewkesbury</v>
      </c>
      <c r="J256" t="str">
        <f>_xlfn.XLOOKUP(AllDataApr[[#This Row],[Site Name]],LocationsKey[Site Name], LocationsKey[Waterway])</f>
        <v>Carrant</v>
      </c>
      <c r="K256" t="s">
        <v>166</v>
      </c>
      <c r="N256" t="s">
        <v>200</v>
      </c>
      <c r="O256">
        <v>628</v>
      </c>
      <c r="P256">
        <v>9.6</v>
      </c>
      <c r="Q256">
        <v>6</v>
      </c>
      <c r="R256" s="7" t="str">
        <f>IF(AllDataApr[[#This Row],[Nitrate (PPM)]]&gt;2, "Very high", IF(AllDataApr[[#This Row],[Nitrate (PPM)]]&gt;1, "High", IF(AllDataApr[[#This Row],[Nitrate (PPM)]]&gt;0.5, "Some evidence", IF(AllDataApr[[#This Row],[Nitrate (PPM)]]&gt;0, "No evidence", IF(AllDataApr[[#This Row],[Nitrate (PPM)]]=0, "")))))</f>
        <v>Very high</v>
      </c>
      <c r="S256">
        <v>0.35</v>
      </c>
      <c r="T256" s="7" t="str">
        <f>IF(AllDataApr[[#This Row],[Phosphate (PPM)]]&gt;0.5, "Very high", IF(AllDataApr[[#This Row],[Phosphate (PPM)]]&gt;0.1, "High", IF(AllDataApr[[#This Row],[Phosphate (PPM)]]&gt;0.05, "Some evidence", IF(AllDataApr[[#This Row],[Phosphate (PPM)]]=0, ""))))</f>
        <v>High</v>
      </c>
      <c r="U256">
        <v>1.5</v>
      </c>
      <c r="V256" t="s">
        <v>132</v>
      </c>
    </row>
    <row r="257" spans="1:22" x14ac:dyDescent="0.3">
      <c r="A257" t="s">
        <v>666</v>
      </c>
      <c r="B257" s="2">
        <v>45273</v>
      </c>
      <c r="C257" s="2" t="str" cm="1">
        <f t="array" ref="C25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57">
        <f>YEAR(AllDataApr[[#This Row],[Date]])</f>
        <v>2023</v>
      </c>
      <c r="E257" s="1">
        <v>0.59375</v>
      </c>
      <c r="F257" s="2" t="str">
        <f>IF(AND(AllDataApr[[#This Row],[Time]]&lt;0.5, AllDataApr[[#This Row],[Time]]&gt;0.17)=TRUE, "Morning", IF(AND(AllDataApr[[#This Row],[Time]]&lt;0.75, AllDataApr[[#This Row],[Time]]&gt;=0.5)=TRUE, "Afternoon", IF(AND(AllDataApr[[#This Row],[Time]]&lt;1, AllDataApr[[#This Row],[Time]]&gt;=0.75)=TRUE, "Evening", "Night")))</f>
        <v>Afternoon</v>
      </c>
      <c r="G257" t="s">
        <v>129</v>
      </c>
      <c r="H257" t="str">
        <f>_xlfn.XLOOKUP(AllDataApr[[#This Row],[Location Name]], Locations[Row Labels],Locations[Group As])</f>
        <v>Alveston Weir</v>
      </c>
      <c r="I257" t="str">
        <f>_xlfn.XLOOKUP(AllDataApr[[#This Row],[Site Name]],LocationsKey[Site Name],LocationsKey[Region])</f>
        <v>Stratford</v>
      </c>
      <c r="J257" t="str">
        <f>_xlfn.XLOOKUP(AllDataApr[[#This Row],[Site Name]],LocationsKey[Site Name], LocationsKey[Waterway])</f>
        <v>Avon</v>
      </c>
      <c r="K257" t="s">
        <v>128</v>
      </c>
      <c r="L257">
        <v>52.214388999999997</v>
      </c>
      <c r="M257">
        <v>-1.6601520000000001</v>
      </c>
      <c r="N257" t="s">
        <v>18</v>
      </c>
      <c r="O257">
        <v>525</v>
      </c>
      <c r="P257">
        <v>8.6999999999999993</v>
      </c>
      <c r="Q257">
        <v>5</v>
      </c>
      <c r="R257" s="7" t="str">
        <f>IF(AllDataApr[[#This Row],[Nitrate (PPM)]]&gt;2, "Very high", IF(AllDataApr[[#This Row],[Nitrate (PPM)]]&gt;1, "High", IF(AllDataApr[[#This Row],[Nitrate (PPM)]]&gt;0.5, "Some evidence", IF(AllDataApr[[#This Row],[Nitrate (PPM)]]&gt;0, "No evidence", IF(AllDataApr[[#This Row],[Nitrate (PPM)]]=0, "")))))</f>
        <v>Very high</v>
      </c>
      <c r="S257">
        <v>0.43</v>
      </c>
      <c r="T257" s="7" t="str">
        <f>IF(AllDataApr[[#This Row],[Phosphate (PPM)]]&gt;0.5, "Very high", IF(AllDataApr[[#This Row],[Phosphate (PPM)]]&gt;0.1, "High", IF(AllDataApr[[#This Row],[Phosphate (PPM)]]&gt;0.05, "Some evidence", IF(AllDataApr[[#This Row],[Phosphate (PPM)]]=0, ""))))</f>
        <v>High</v>
      </c>
      <c r="U257">
        <v>2</v>
      </c>
      <c r="V257" t="s">
        <v>176</v>
      </c>
    </row>
    <row r="258" spans="1:22" x14ac:dyDescent="0.3">
      <c r="A258" s="11" t="s">
        <v>667</v>
      </c>
      <c r="B258" s="2">
        <v>45273</v>
      </c>
      <c r="C258" s="2" t="str" cm="1">
        <f t="array" ref="C25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58">
        <f>YEAR(AllDataApr[[#This Row],[Date]])</f>
        <v>2023</v>
      </c>
      <c r="E258" s="1">
        <v>0.60416666666666663</v>
      </c>
      <c r="F258" s="2" t="str">
        <f>IF(AND(AllDataApr[[#This Row],[Time]]&lt;0.5, AllDataApr[[#This Row],[Time]]&gt;0.17)=TRUE, "Morning", IF(AND(AllDataApr[[#This Row],[Time]]&lt;0.75, AllDataApr[[#This Row],[Time]]&gt;=0.5)=TRUE, "Afternoon", IF(AND(AllDataApr[[#This Row],[Time]]&lt;1, AllDataApr[[#This Row],[Time]]&gt;=0.75)=TRUE, "Evening", "Night")))</f>
        <v>Afternoon</v>
      </c>
      <c r="G258" t="s">
        <v>127</v>
      </c>
      <c r="H258" t="str">
        <f>_xlfn.XLOOKUP(AllDataApr[[#This Row],[Location Name]], Locations[Row Labels],Locations[Group As])</f>
        <v>Swiffen Bank</v>
      </c>
      <c r="I258" t="str">
        <f>_xlfn.XLOOKUP(AllDataApr[[#This Row],[Site Name]],LocationsKey[Site Name],LocationsKey[Region])</f>
        <v>Stratford</v>
      </c>
      <c r="J258" t="str">
        <f>_xlfn.XLOOKUP(AllDataApr[[#This Row],[Site Name]],LocationsKey[Site Name], LocationsKey[Waterway])</f>
        <v>Avon</v>
      </c>
      <c r="K258" t="s">
        <v>167</v>
      </c>
      <c r="L258">
        <v>52.206477999999997</v>
      </c>
      <c r="M258">
        <v>-1.653894</v>
      </c>
      <c r="N258" t="s">
        <v>18</v>
      </c>
      <c r="O258">
        <v>511</v>
      </c>
      <c r="P258">
        <v>8.5</v>
      </c>
      <c r="Q258">
        <v>5</v>
      </c>
      <c r="R258" s="7" t="str">
        <f>IF(AllDataApr[[#This Row],[Nitrate (PPM)]]&gt;2, "Very high", IF(AllDataApr[[#This Row],[Nitrate (PPM)]]&gt;1, "High", IF(AllDataApr[[#This Row],[Nitrate (PPM)]]&gt;0.5, "Some evidence", IF(AllDataApr[[#This Row],[Nitrate (PPM)]]&gt;0, "No evidence", IF(AllDataApr[[#This Row],[Nitrate (PPM)]]=0, "")))))</f>
        <v>Very high</v>
      </c>
      <c r="S258">
        <v>0.55000000000000004</v>
      </c>
      <c r="T258" s="7" t="str">
        <f>IF(AllDataApr[[#This Row],[Phosphate (PPM)]]&gt;0.5, "Very high", IF(AllDataApr[[#This Row],[Phosphate (PPM)]]&gt;0.1, "High", IF(AllDataApr[[#This Row],[Phosphate (PPM)]]&gt;0.05, "Some evidence", IF(AllDataApr[[#This Row],[Phosphate (PPM)]]=0, ""))))</f>
        <v>Very high</v>
      </c>
      <c r="U258">
        <v>2</v>
      </c>
      <c r="V258" t="s">
        <v>155</v>
      </c>
    </row>
    <row r="259" spans="1:22" x14ac:dyDescent="0.3">
      <c r="A259" t="s">
        <v>657</v>
      </c>
      <c r="B259" s="2">
        <v>45273</v>
      </c>
      <c r="C259" s="2" t="str" cm="1">
        <f t="array" ref="C25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59">
        <f>YEAR(AllDataApr[[#This Row],[Date]])</f>
        <v>2023</v>
      </c>
      <c r="E259" s="1">
        <v>0.625</v>
      </c>
      <c r="F259" s="2" t="str">
        <f>IF(AND(AllDataApr[[#This Row],[Time]]&lt;0.5, AllDataApr[[#This Row],[Time]]&gt;0.17)=TRUE, "Morning", IF(AND(AllDataApr[[#This Row],[Time]]&lt;0.75, AllDataApr[[#This Row],[Time]]&gt;=0.5)=TRUE, "Afternoon", IF(AND(AllDataApr[[#This Row],[Time]]&lt;1, AllDataApr[[#This Row],[Time]]&gt;=0.75)=TRUE, "Evening", "Night")))</f>
        <v>Afternoon</v>
      </c>
      <c r="G259" t="s">
        <v>20</v>
      </c>
      <c r="H259" t="str">
        <f>_xlfn.XLOOKUP(AllDataApr[[#This Row],[Location Name]], Locations[Row Labels],Locations[Group As])</f>
        <v>Weston-on-Avon</v>
      </c>
      <c r="I259" t="str">
        <f>_xlfn.XLOOKUP(AllDataApr[[#This Row],[Site Name]],LocationsKey[Site Name],LocationsKey[Region])</f>
        <v>Stratford</v>
      </c>
      <c r="J259" t="str">
        <f>_xlfn.XLOOKUP(AllDataApr[[#This Row],[Site Name]],LocationsKey[Site Name], LocationsKey[Waterway])</f>
        <v>Avon</v>
      </c>
      <c r="K259" t="s">
        <v>23</v>
      </c>
      <c r="L259">
        <v>52.167430000000003</v>
      </c>
      <c r="M259">
        <v>-1.7744800000000001</v>
      </c>
      <c r="N259" t="s">
        <v>18</v>
      </c>
      <c r="O259">
        <v>598</v>
      </c>
      <c r="P259">
        <v>8.3000000000000007</v>
      </c>
      <c r="Q259">
        <v>7</v>
      </c>
      <c r="R259" s="7" t="str">
        <f>IF(AllDataApr[[#This Row],[Nitrate (PPM)]]&gt;2, "Very high", IF(AllDataApr[[#This Row],[Nitrate (PPM)]]&gt;1, "High", IF(AllDataApr[[#This Row],[Nitrate (PPM)]]&gt;0.5, "Some evidence", IF(AllDataApr[[#This Row],[Nitrate (PPM)]]&gt;0, "No evidence", IF(AllDataApr[[#This Row],[Nitrate (PPM)]]=0, "")))))</f>
        <v>Very high</v>
      </c>
      <c r="S259">
        <v>0.4</v>
      </c>
      <c r="T259" s="7" t="str">
        <f>IF(AllDataApr[[#This Row],[Phosphate (PPM)]]&gt;0.5, "Very high", IF(AllDataApr[[#This Row],[Phosphate (PPM)]]&gt;0.1, "High", IF(AllDataApr[[#This Row],[Phosphate (PPM)]]&gt;0.05, "Some evidence", IF(AllDataApr[[#This Row],[Phosphate (PPM)]]=0, ""))))</f>
        <v>High</v>
      </c>
      <c r="U259">
        <v>0</v>
      </c>
    </row>
    <row r="260" spans="1:22" x14ac:dyDescent="0.3">
      <c r="A260" t="s">
        <v>668</v>
      </c>
      <c r="B260" s="2">
        <v>45273</v>
      </c>
      <c r="C260" s="2" t="str" cm="1">
        <f t="array" ref="C26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60">
        <f>YEAR(AllDataApr[[#This Row],[Date]])</f>
        <v>2023</v>
      </c>
      <c r="E260" s="1">
        <v>0.64583333333333337</v>
      </c>
      <c r="F260" s="2" t="str">
        <f>IF(AND(AllDataApr[[#This Row],[Time]]&lt;0.5, AllDataApr[[#This Row],[Time]]&gt;0.17)=TRUE, "Morning", IF(AND(AllDataApr[[#This Row],[Time]]&lt;0.75, AllDataApr[[#This Row],[Time]]&gt;=0.5)=TRUE, "Afternoon", IF(AND(AllDataApr[[#This Row],[Time]]&lt;1, AllDataApr[[#This Row],[Time]]&gt;=0.75)=TRUE, "Evening", "Night")))</f>
        <v>Afternoon</v>
      </c>
      <c r="G260" t="s">
        <v>57</v>
      </c>
      <c r="H260" t="str">
        <f>_xlfn.XLOOKUP(AllDataApr[[#This Row],[Location Name]], Locations[Row Labels],Locations[Group As])</f>
        <v>Stour Newbold Mill</v>
      </c>
      <c r="I260" t="str">
        <f>_xlfn.XLOOKUP(AllDataApr[[#This Row],[Site Name]],LocationsKey[Site Name],LocationsKey[Region])</f>
        <v>Shipston</v>
      </c>
      <c r="J260" t="str">
        <f>_xlfn.XLOOKUP(AllDataApr[[#This Row],[Site Name]],LocationsKey[Site Name], LocationsKey[Waterway])</f>
        <v>Stour</v>
      </c>
      <c r="K260" t="s">
        <v>66</v>
      </c>
      <c r="L260">
        <v>52.112847000000002</v>
      </c>
      <c r="M260">
        <v>-1.633432</v>
      </c>
      <c r="N260" t="s">
        <v>42</v>
      </c>
      <c r="O260">
        <v>513</v>
      </c>
      <c r="P260">
        <v>9.8000000000000007</v>
      </c>
      <c r="Q260">
        <v>5</v>
      </c>
      <c r="R260" s="7" t="str">
        <f>IF(AllDataApr[[#This Row],[Nitrate (PPM)]]&gt;2, "Very high", IF(AllDataApr[[#This Row],[Nitrate (PPM)]]&gt;1, "High", IF(AllDataApr[[#This Row],[Nitrate (PPM)]]&gt;0.5, "Some evidence", IF(AllDataApr[[#This Row],[Nitrate (PPM)]]&gt;0, "No evidence", IF(AllDataApr[[#This Row],[Nitrate (PPM)]]=0, "")))))</f>
        <v>Very high</v>
      </c>
      <c r="S260">
        <v>0.19</v>
      </c>
      <c r="T260" s="7" t="str">
        <f>IF(AllDataApr[[#This Row],[Phosphate (PPM)]]&gt;0.5, "Very high", IF(AllDataApr[[#This Row],[Phosphate (PPM)]]&gt;0.1, "High", IF(AllDataApr[[#This Row],[Phosphate (PPM)]]&gt;0.05, "Some evidence", IF(AllDataApr[[#This Row],[Phosphate (PPM)]]=0, ""))))</f>
        <v>High</v>
      </c>
      <c r="U260">
        <v>3</v>
      </c>
      <c r="V260" t="s">
        <v>170</v>
      </c>
    </row>
    <row r="261" spans="1:22" x14ac:dyDescent="0.3">
      <c r="A261" t="s">
        <v>655</v>
      </c>
      <c r="B261" s="2">
        <v>45274</v>
      </c>
      <c r="C261" s="2" t="str" cm="1">
        <f t="array" ref="C26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61">
        <f>YEAR(AllDataApr[[#This Row],[Date]])</f>
        <v>2023</v>
      </c>
      <c r="E261" s="1">
        <v>0.65277777777777779</v>
      </c>
      <c r="F261" s="2" t="str">
        <f>IF(AND(AllDataApr[[#This Row],[Time]]&lt;0.5, AllDataApr[[#This Row],[Time]]&gt;0.17)=TRUE, "Morning", IF(AND(AllDataApr[[#This Row],[Time]]&lt;0.75, AllDataApr[[#This Row],[Time]]&gt;=0.5)=TRUE, "Afternoon", IF(AND(AllDataApr[[#This Row],[Time]]&lt;1, AllDataApr[[#This Row],[Time]]&gt;=0.75)=TRUE, "Evening", "Night")))</f>
        <v>Afternoon</v>
      </c>
      <c r="G261" t="s">
        <v>46</v>
      </c>
      <c r="H261" t="str">
        <f>_xlfn.XLOOKUP(AllDataApr[[#This Row],[Location Name]], Locations[Row Labels],Locations[Group As])</f>
        <v>Swilgate</v>
      </c>
      <c r="I261" t="str">
        <f>_xlfn.XLOOKUP(AllDataApr[[#This Row],[Site Name]],LocationsKey[Site Name],LocationsKey[Region])</f>
        <v>Tewkesbury</v>
      </c>
      <c r="J261" t="str">
        <f>_xlfn.XLOOKUP(AllDataApr[[#This Row],[Site Name]],LocationsKey[Site Name], LocationsKey[Waterway])</f>
        <v>Swilgate</v>
      </c>
      <c r="K261" t="s">
        <v>47</v>
      </c>
      <c r="L261">
        <v>51.988522000000003</v>
      </c>
      <c r="M261">
        <v>-2.1636660000000001</v>
      </c>
      <c r="N261" t="s">
        <v>200</v>
      </c>
      <c r="O261">
        <v>715</v>
      </c>
      <c r="P261">
        <v>9.1</v>
      </c>
      <c r="Q261">
        <v>6</v>
      </c>
      <c r="R261" s="7" t="str">
        <f>IF(AllDataApr[[#This Row],[Nitrate (PPM)]]&gt;2, "Very high", IF(AllDataApr[[#This Row],[Nitrate (PPM)]]&gt;1, "High", IF(AllDataApr[[#This Row],[Nitrate (PPM)]]&gt;0.5, "Some evidence", IF(AllDataApr[[#This Row],[Nitrate (PPM)]]&gt;0, "No evidence", IF(AllDataApr[[#This Row],[Nitrate (PPM)]]=0, "")))))</f>
        <v>Very high</v>
      </c>
      <c r="S261">
        <v>0.43</v>
      </c>
      <c r="T261" s="7" t="str">
        <f>IF(AllDataApr[[#This Row],[Phosphate (PPM)]]&gt;0.5, "Very high", IF(AllDataApr[[#This Row],[Phosphate (PPM)]]&gt;0.1, "High", IF(AllDataApr[[#This Row],[Phosphate (PPM)]]&gt;0.05, "Some evidence", IF(AllDataApr[[#This Row],[Phosphate (PPM)]]=0, ""))))</f>
        <v>High</v>
      </c>
      <c r="U261">
        <v>2</v>
      </c>
      <c r="V261" t="s">
        <v>132</v>
      </c>
    </row>
    <row r="262" spans="1:22" x14ac:dyDescent="0.3">
      <c r="A262" t="s">
        <v>582</v>
      </c>
      <c r="B262" s="2">
        <v>45276</v>
      </c>
      <c r="C262" s="2" t="str" cm="1">
        <f t="array" ref="C26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62">
        <f>YEAR(AllDataApr[[#This Row],[Date]])</f>
        <v>2023</v>
      </c>
      <c r="E262" s="1">
        <v>0.63888888888888884</v>
      </c>
      <c r="F262" s="2" t="str">
        <f>IF(AND(AllDataApr[[#This Row],[Time]]&lt;0.5, AllDataApr[[#This Row],[Time]]&gt;0.17)=TRUE, "Morning", IF(AND(AllDataApr[[#This Row],[Time]]&lt;0.75, AllDataApr[[#This Row],[Time]]&gt;=0.5)=TRUE, "Afternoon", IF(AND(AllDataApr[[#This Row],[Time]]&lt;1, AllDataApr[[#This Row],[Time]]&gt;=0.75)=TRUE, "Evening", "Night")))</f>
        <v>Afternoon</v>
      </c>
      <c r="G262" t="s">
        <v>112</v>
      </c>
      <c r="H262" t="str">
        <f>_xlfn.XLOOKUP(AllDataApr[[#This Row],[Location Name]], Locations[Row Labels],Locations[Group As])</f>
        <v>Clifford Chambers Mill Bridge</v>
      </c>
      <c r="I262" t="str">
        <f>_xlfn.XLOOKUP(AllDataApr[[#This Row],[Site Name]],LocationsKey[Site Name],LocationsKey[Region])</f>
        <v>Stratford</v>
      </c>
      <c r="J262" t="str">
        <f>_xlfn.XLOOKUP(AllDataApr[[#This Row],[Site Name]],LocationsKey[Site Name], LocationsKey[Waterway])</f>
        <v>Stour</v>
      </c>
      <c r="K262" t="s">
        <v>119</v>
      </c>
      <c r="L262">
        <v>52.166370000000001</v>
      </c>
      <c r="M262">
        <v>-1.708032</v>
      </c>
      <c r="N262" t="s">
        <v>1047</v>
      </c>
      <c r="O262">
        <v>635</v>
      </c>
      <c r="P262">
        <v>12.5</v>
      </c>
      <c r="Q262">
        <v>4</v>
      </c>
      <c r="R262" s="7" t="str">
        <f>IF(AllDataApr[[#This Row],[Nitrate (PPM)]]&gt;2, "Very high", IF(AllDataApr[[#This Row],[Nitrate (PPM)]]&gt;1, "High", IF(AllDataApr[[#This Row],[Nitrate (PPM)]]&gt;0.5, "Some evidence", IF(AllDataApr[[#This Row],[Nitrate (PPM)]]&gt;0, "No evidence", IF(AllDataApr[[#This Row],[Nitrate (PPM)]]=0, "")))))</f>
        <v>Very high</v>
      </c>
      <c r="S262">
        <v>0.28000000000000003</v>
      </c>
      <c r="T262" s="7" t="str">
        <f>IF(AllDataApr[[#This Row],[Phosphate (PPM)]]&gt;0.5, "Very high", IF(AllDataApr[[#This Row],[Phosphate (PPM)]]&gt;0.1, "High", IF(AllDataApr[[#This Row],[Phosphate (PPM)]]&gt;0.05, "Some evidence", IF(AllDataApr[[#This Row],[Phosphate (PPM)]]=0, ""))))</f>
        <v>High</v>
      </c>
      <c r="U262">
        <v>1.2</v>
      </c>
      <c r="V262" t="s">
        <v>239</v>
      </c>
    </row>
    <row r="263" spans="1:22" x14ac:dyDescent="0.3">
      <c r="A263" t="s">
        <v>572</v>
      </c>
      <c r="B263" s="2">
        <v>45276</v>
      </c>
      <c r="C263" s="2" t="str" cm="1">
        <f t="array" ref="C26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63">
        <f>YEAR(AllDataApr[[#This Row],[Date]])</f>
        <v>2023</v>
      </c>
      <c r="E263" s="1">
        <v>0.65277777777777779</v>
      </c>
      <c r="F263" s="2" t="str">
        <f>IF(AND(AllDataApr[[#This Row],[Time]]&lt;0.5, AllDataApr[[#This Row],[Time]]&gt;0.17)=TRUE, "Morning", IF(AND(AllDataApr[[#This Row],[Time]]&lt;0.75, AllDataApr[[#This Row],[Time]]&gt;=0.5)=TRUE, "Afternoon", IF(AND(AllDataApr[[#This Row],[Time]]&lt;1, AllDataApr[[#This Row],[Time]]&gt;=0.75)=TRUE, "Evening", "Night")))</f>
        <v>Afternoon</v>
      </c>
      <c r="G263" t="s">
        <v>112</v>
      </c>
      <c r="H263" t="str">
        <f>_xlfn.XLOOKUP(AllDataApr[[#This Row],[Location Name]], Locations[Row Labels],Locations[Group As])</f>
        <v>Clifford Chambers Road Bridge</v>
      </c>
      <c r="I263" t="str">
        <f>_xlfn.XLOOKUP(AllDataApr[[#This Row],[Site Name]],LocationsKey[Site Name],LocationsKey[Region])</f>
        <v>Stratford</v>
      </c>
      <c r="J263" t="str">
        <f>_xlfn.XLOOKUP(AllDataApr[[#This Row],[Site Name]],LocationsKey[Site Name], LocationsKey[Waterway])</f>
        <v>Stour</v>
      </c>
      <c r="K263" t="s">
        <v>226</v>
      </c>
      <c r="L263">
        <v>52.172840000000001</v>
      </c>
      <c r="M263">
        <v>-1.71377</v>
      </c>
      <c r="N263" t="s">
        <v>1047</v>
      </c>
      <c r="O263">
        <v>644</v>
      </c>
      <c r="P263">
        <v>13.2</v>
      </c>
      <c r="Q263">
        <v>4</v>
      </c>
      <c r="R263" s="7" t="str">
        <f>IF(AllDataApr[[#This Row],[Nitrate (PPM)]]&gt;2, "Very high", IF(AllDataApr[[#This Row],[Nitrate (PPM)]]&gt;1, "High", IF(AllDataApr[[#This Row],[Nitrate (PPM)]]&gt;0.5, "Some evidence", IF(AllDataApr[[#This Row],[Nitrate (PPM)]]&gt;0, "No evidence", IF(AllDataApr[[#This Row],[Nitrate (PPM)]]=0, "")))))</f>
        <v>Very high</v>
      </c>
      <c r="S263">
        <v>0.23</v>
      </c>
      <c r="T263" s="7" t="str">
        <f>IF(AllDataApr[[#This Row],[Phosphate (PPM)]]&gt;0.5, "Very high", IF(AllDataApr[[#This Row],[Phosphate (PPM)]]&gt;0.1, "High", IF(AllDataApr[[#This Row],[Phosphate (PPM)]]&gt;0.05, "Some evidence", IF(AllDataApr[[#This Row],[Phosphate (PPM)]]=0, ""))))</f>
        <v>High</v>
      </c>
      <c r="U263">
        <v>1.2</v>
      </c>
    </row>
    <row r="264" spans="1:22" x14ac:dyDescent="0.3">
      <c r="A264" t="s">
        <v>644</v>
      </c>
      <c r="B264" s="2">
        <v>45277</v>
      </c>
      <c r="C264" s="2" t="str" cm="1">
        <f t="array" ref="C26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64">
        <f>YEAR(AllDataApr[[#This Row],[Date]])</f>
        <v>2023</v>
      </c>
      <c r="E264" s="1">
        <v>0.42708333333333331</v>
      </c>
      <c r="F264" s="2" t="str">
        <f>IF(AND(AllDataApr[[#This Row],[Time]]&lt;0.5, AllDataApr[[#This Row],[Time]]&gt;0.17)=TRUE, "Morning", IF(AND(AllDataApr[[#This Row],[Time]]&lt;0.75, AllDataApr[[#This Row],[Time]]&gt;=0.5)=TRUE, "Afternoon", IF(AND(AllDataApr[[#This Row],[Time]]&lt;1, AllDataApr[[#This Row],[Time]]&gt;=0.75)=TRUE, "Evening", "Night")))</f>
        <v>Morning</v>
      </c>
      <c r="G264" t="s">
        <v>100</v>
      </c>
      <c r="H264" t="str">
        <f>_xlfn.XLOOKUP(AllDataApr[[#This Row],[Location Name]], Locations[Row Labels],Locations[Group As])</f>
        <v>Barton</v>
      </c>
      <c r="I264" t="str">
        <f>_xlfn.XLOOKUP(AllDataApr[[#This Row],[Site Name]],LocationsKey[Site Name],LocationsKey[Region])</f>
        <v>Stratford</v>
      </c>
      <c r="J264" t="str">
        <f>_xlfn.XLOOKUP(AllDataApr[[#This Row],[Site Name]],LocationsKey[Site Name], LocationsKey[Waterway])</f>
        <v>Avon</v>
      </c>
      <c r="K264" t="s">
        <v>29</v>
      </c>
      <c r="L264">
        <v>52.161209999999997</v>
      </c>
      <c r="M264">
        <v>-1.8301499999999999</v>
      </c>
      <c r="N264" t="s">
        <v>18</v>
      </c>
      <c r="O264">
        <v>726</v>
      </c>
      <c r="P264">
        <v>9.1</v>
      </c>
      <c r="Q264">
        <v>7</v>
      </c>
      <c r="R264" s="7" t="str">
        <f>IF(AllDataApr[[#This Row],[Nitrate (PPM)]]&gt;2, "Very high", IF(AllDataApr[[#This Row],[Nitrate (PPM)]]&gt;1, "High", IF(AllDataApr[[#This Row],[Nitrate (PPM)]]&gt;0.5, "Some evidence", IF(AllDataApr[[#This Row],[Nitrate (PPM)]]&gt;0, "No evidence", IF(AllDataApr[[#This Row],[Nitrate (PPM)]]=0, "")))))</f>
        <v>Very high</v>
      </c>
      <c r="S264">
        <v>0.39</v>
      </c>
      <c r="T264" s="7" t="str">
        <f>IF(AllDataApr[[#This Row],[Phosphate (PPM)]]&gt;0.5, "Very high", IF(AllDataApr[[#This Row],[Phosphate (PPM)]]&gt;0.1, "High", IF(AllDataApr[[#This Row],[Phosphate (PPM)]]&gt;0.05, "Some evidence", IF(AllDataApr[[#This Row],[Phosphate (PPM)]]=0, ""))))</f>
        <v>High</v>
      </c>
      <c r="U264">
        <v>0</v>
      </c>
    </row>
    <row r="265" spans="1:22" x14ac:dyDescent="0.3">
      <c r="A265" t="s">
        <v>654</v>
      </c>
      <c r="B265" s="2">
        <v>45277</v>
      </c>
      <c r="C265" s="2" t="str" cm="1">
        <f t="array" ref="C26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65">
        <f>YEAR(AllDataApr[[#This Row],[Date]])</f>
        <v>2023</v>
      </c>
      <c r="E265" s="1">
        <v>0.4375</v>
      </c>
      <c r="F265" s="2" t="str">
        <f>IF(AND(AllDataApr[[#This Row],[Time]]&lt;0.5, AllDataApr[[#This Row],[Time]]&gt;0.17)=TRUE, "Morning", IF(AND(AllDataApr[[#This Row],[Time]]&lt;0.75, AllDataApr[[#This Row],[Time]]&gt;=0.5)=TRUE, "Afternoon", IF(AND(AllDataApr[[#This Row],[Time]]&lt;1, AllDataApr[[#This Row],[Time]]&gt;=0.75)=TRUE, "Evening", "Night")))</f>
        <v>Morning</v>
      </c>
      <c r="G265" t="s">
        <v>11</v>
      </c>
      <c r="H265" t="str">
        <f>_xlfn.XLOOKUP(AllDataApr[[#This Row],[Location Name]], Locations[Row Labels],Locations[Group As])</f>
        <v>Abbey Mill</v>
      </c>
      <c r="I265" t="str">
        <f>_xlfn.XLOOKUP(AllDataApr[[#This Row],[Site Name]],LocationsKey[Site Name],LocationsKey[Region])</f>
        <v>Tewkesbury</v>
      </c>
      <c r="J265" t="str">
        <f>_xlfn.XLOOKUP(AllDataApr[[#This Row],[Site Name]],LocationsKey[Site Name], LocationsKey[Waterway])</f>
        <v>Avon</v>
      </c>
      <c r="K265" t="s">
        <v>12</v>
      </c>
      <c r="N265" t="s">
        <v>200</v>
      </c>
      <c r="O265">
        <v>653</v>
      </c>
      <c r="P265">
        <v>12</v>
      </c>
      <c r="Q265">
        <v>10</v>
      </c>
      <c r="R265" s="7" t="str">
        <f>IF(AllDataApr[[#This Row],[Nitrate (PPM)]]&gt;2, "Very high", IF(AllDataApr[[#This Row],[Nitrate (PPM)]]&gt;1, "High", IF(AllDataApr[[#This Row],[Nitrate (PPM)]]&gt;0.5, "Some evidence", IF(AllDataApr[[#This Row],[Nitrate (PPM)]]&gt;0, "No evidence", IF(AllDataApr[[#This Row],[Nitrate (PPM)]]=0, "")))))</f>
        <v>Very high</v>
      </c>
      <c r="S265">
        <v>0.78</v>
      </c>
      <c r="T265" s="7" t="str">
        <f>IF(AllDataApr[[#This Row],[Phosphate (PPM)]]&gt;0.5, "Very high", IF(AllDataApr[[#This Row],[Phosphate (PPM)]]&gt;0.1, "High", IF(AllDataApr[[#This Row],[Phosphate (PPM)]]&gt;0.05, "Some evidence", IF(AllDataApr[[#This Row],[Phosphate (PPM)]]=0, ""))))</f>
        <v>Very high</v>
      </c>
      <c r="U265">
        <v>2</v>
      </c>
      <c r="V265" t="s">
        <v>132</v>
      </c>
    </row>
    <row r="266" spans="1:22" x14ac:dyDescent="0.3">
      <c r="A266" t="s">
        <v>647</v>
      </c>
      <c r="B266" s="2">
        <v>45277</v>
      </c>
      <c r="C266" s="2" t="str" cm="1">
        <f t="array" ref="C26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66">
        <f>YEAR(AllDataApr[[#This Row],[Date]])</f>
        <v>2023</v>
      </c>
      <c r="E266" s="1">
        <v>0.51041666666666663</v>
      </c>
      <c r="F266" s="2" t="str">
        <f>IF(AND(AllDataApr[[#This Row],[Time]]&lt;0.5, AllDataApr[[#This Row],[Time]]&gt;0.17)=TRUE, "Morning", IF(AND(AllDataApr[[#This Row],[Time]]&lt;0.75, AllDataApr[[#This Row],[Time]]&gt;=0.5)=TRUE, "Afternoon", IF(AND(AllDataApr[[#This Row],[Time]]&lt;1, AllDataApr[[#This Row],[Time]]&gt;=0.75)=TRUE, "Evening", "Night")))</f>
        <v>Afternoon</v>
      </c>
      <c r="G266" t="s">
        <v>20</v>
      </c>
      <c r="H266" t="str">
        <f>_xlfn.XLOOKUP(AllDataApr[[#This Row],[Location Name]], Locations[Row Labels],Locations[Group As])</f>
        <v>Hampton Wood</v>
      </c>
      <c r="I266" t="str">
        <f>_xlfn.XLOOKUP(AllDataApr[[#This Row],[Site Name]],LocationsKey[Site Name],LocationsKey[Region])</f>
        <v>Stratford</v>
      </c>
      <c r="J266" t="str">
        <f>_xlfn.XLOOKUP(AllDataApr[[#This Row],[Site Name]],LocationsKey[Site Name], LocationsKey[Waterway])</f>
        <v>Avon</v>
      </c>
      <c r="K266" t="s">
        <v>25</v>
      </c>
      <c r="L266">
        <v>52.238149999999997</v>
      </c>
      <c r="M266">
        <v>-1.6245799999999999</v>
      </c>
      <c r="N266" t="s">
        <v>18</v>
      </c>
      <c r="O266">
        <v>730</v>
      </c>
      <c r="P266">
        <v>9.6999999999999993</v>
      </c>
      <c r="Q266">
        <v>10</v>
      </c>
      <c r="R266" s="7" t="str">
        <f>IF(AllDataApr[[#This Row],[Nitrate (PPM)]]&gt;2, "Very high", IF(AllDataApr[[#This Row],[Nitrate (PPM)]]&gt;1, "High", IF(AllDataApr[[#This Row],[Nitrate (PPM)]]&gt;0.5, "Some evidence", IF(AllDataApr[[#This Row],[Nitrate (PPM)]]&gt;0, "No evidence", IF(AllDataApr[[#This Row],[Nitrate (PPM)]]=0, "")))))</f>
        <v>Very high</v>
      </c>
      <c r="S266">
        <v>0.43</v>
      </c>
      <c r="T266" s="7" t="str">
        <f>IF(AllDataApr[[#This Row],[Phosphate (PPM)]]&gt;0.5, "Very high", IF(AllDataApr[[#This Row],[Phosphate (PPM)]]&gt;0.1, "High", IF(AllDataApr[[#This Row],[Phosphate (PPM)]]&gt;0.05, "Some evidence", IF(AllDataApr[[#This Row],[Phosphate (PPM)]]=0, ""))))</f>
        <v>High</v>
      </c>
      <c r="U266">
        <v>0</v>
      </c>
    </row>
    <row r="267" spans="1:22" x14ac:dyDescent="0.3">
      <c r="A267" s="11" t="s">
        <v>646</v>
      </c>
      <c r="B267" s="2">
        <v>45277</v>
      </c>
      <c r="C267" s="2" t="str" cm="1">
        <f t="array" ref="C26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67">
        <f>YEAR(AllDataApr[[#This Row],[Date]])</f>
        <v>2023</v>
      </c>
      <c r="E267" s="1">
        <v>0.54166666666666663</v>
      </c>
      <c r="F267" s="2" t="str">
        <f>IF(AND(AllDataApr[[#This Row],[Time]]&lt;0.5, AllDataApr[[#This Row],[Time]]&gt;0.17)=TRUE, "Morning", IF(AND(AllDataApr[[#This Row],[Time]]&lt;0.75, AllDataApr[[#This Row],[Time]]&gt;=0.5)=TRUE, "Afternoon", IF(AND(AllDataApr[[#This Row],[Time]]&lt;1, AllDataApr[[#This Row],[Time]]&gt;=0.75)=TRUE, "Evening", "Night")))</f>
        <v>Afternoon</v>
      </c>
      <c r="G267" t="s">
        <v>95</v>
      </c>
      <c r="H267" t="str">
        <f>_xlfn.XLOOKUP(AllDataApr[[#This Row],[Location Name]], Locations[Row Labels],Locations[Group As])</f>
        <v>Hampton Lucy</v>
      </c>
      <c r="I267" t="str">
        <f>_xlfn.XLOOKUP(AllDataApr[[#This Row],[Site Name]],LocationsKey[Site Name],LocationsKey[Region])</f>
        <v>Stratford</v>
      </c>
      <c r="J267" t="str">
        <f>_xlfn.XLOOKUP(AllDataApr[[#This Row],[Site Name]],LocationsKey[Site Name], LocationsKey[Waterway])</f>
        <v>Avon</v>
      </c>
      <c r="K267" t="s">
        <v>27</v>
      </c>
      <c r="L267">
        <v>52.211680000000001</v>
      </c>
      <c r="M267">
        <v>-1.6244400000000001</v>
      </c>
      <c r="N267" t="s">
        <v>200</v>
      </c>
      <c r="O267">
        <v>720</v>
      </c>
      <c r="P267">
        <v>9.6999999999999993</v>
      </c>
      <c r="Q267">
        <v>7</v>
      </c>
      <c r="R267" s="7" t="str">
        <f>IF(AllDataApr[[#This Row],[Nitrate (PPM)]]&gt;2, "Very high", IF(AllDataApr[[#This Row],[Nitrate (PPM)]]&gt;1, "High", IF(AllDataApr[[#This Row],[Nitrate (PPM)]]&gt;0.5, "Some evidence", IF(AllDataApr[[#This Row],[Nitrate (PPM)]]&gt;0, "No evidence", IF(AllDataApr[[#This Row],[Nitrate (PPM)]]=0, "")))))</f>
        <v>Very high</v>
      </c>
      <c r="S267">
        <v>0.54</v>
      </c>
      <c r="T267" s="7" t="str">
        <f>IF(AllDataApr[[#This Row],[Phosphate (PPM)]]&gt;0.5, "Very high", IF(AllDataApr[[#This Row],[Phosphate (PPM)]]&gt;0.1, "High", IF(AllDataApr[[#This Row],[Phosphate (PPM)]]&gt;0.05, "Some evidence", IF(AllDataApr[[#This Row],[Phosphate (PPM)]]=0, ""))))</f>
        <v>Very high</v>
      </c>
      <c r="U267">
        <v>0</v>
      </c>
    </row>
    <row r="268" spans="1:22" x14ac:dyDescent="0.3">
      <c r="A268" t="s">
        <v>645</v>
      </c>
      <c r="B268" s="2">
        <v>45277</v>
      </c>
      <c r="C268" s="2" t="str" cm="1">
        <f t="array" ref="C26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68">
        <f>YEAR(AllDataApr[[#This Row],[Date]])</f>
        <v>2023</v>
      </c>
      <c r="E268" s="1">
        <v>0.66666666666666663</v>
      </c>
      <c r="F268" s="2" t="str">
        <f>IF(AND(AllDataApr[[#This Row],[Time]]&lt;0.5, AllDataApr[[#This Row],[Time]]&gt;0.17)=TRUE, "Morning", IF(AND(AllDataApr[[#This Row],[Time]]&lt;0.75, AllDataApr[[#This Row],[Time]]&gt;=0.5)=TRUE, "Afternoon", IF(AND(AllDataApr[[#This Row],[Time]]&lt;1, AllDataApr[[#This Row],[Time]]&gt;=0.75)=TRUE, "Evening", "Night")))</f>
        <v>Afternoon</v>
      </c>
      <c r="G268" t="s">
        <v>35</v>
      </c>
      <c r="H268" t="str">
        <f>_xlfn.XLOOKUP(AllDataApr[[#This Row],[Location Name]], Locations[Row Labels],Locations[Group As])</f>
        <v>Welford Boat Station</v>
      </c>
      <c r="I268" t="str">
        <f>_xlfn.XLOOKUP(AllDataApr[[#This Row],[Site Name]],LocationsKey[Site Name],LocationsKey[Region])</f>
        <v>Stratford</v>
      </c>
      <c r="J268" t="str">
        <f>_xlfn.XLOOKUP(AllDataApr[[#This Row],[Site Name]],LocationsKey[Site Name], LocationsKey[Waterway])</f>
        <v>Avon</v>
      </c>
      <c r="K268" t="s">
        <v>22</v>
      </c>
      <c r="L268">
        <v>52.175240000000002</v>
      </c>
      <c r="M268">
        <v>-1.7918700000000001</v>
      </c>
      <c r="N268" t="s">
        <v>18</v>
      </c>
      <c r="O268">
        <v>760</v>
      </c>
      <c r="P268">
        <v>9.3000000000000007</v>
      </c>
      <c r="Q268">
        <v>20</v>
      </c>
      <c r="R268" s="7" t="str">
        <f>IF(AllDataApr[[#This Row],[Nitrate (PPM)]]&gt;2, "Very high", IF(AllDataApr[[#This Row],[Nitrate (PPM)]]&gt;1, "High", IF(AllDataApr[[#This Row],[Nitrate (PPM)]]&gt;0.5, "Some evidence", IF(AllDataApr[[#This Row],[Nitrate (PPM)]]&gt;0, "No evidence", IF(AllDataApr[[#This Row],[Nitrate (PPM)]]=0, "")))))</f>
        <v>Very high</v>
      </c>
      <c r="S268">
        <v>0.39</v>
      </c>
      <c r="T268" s="7" t="str">
        <f>IF(AllDataApr[[#This Row],[Phosphate (PPM)]]&gt;0.5, "Very high", IF(AllDataApr[[#This Row],[Phosphate (PPM)]]&gt;0.1, "High", IF(AllDataApr[[#This Row],[Phosphate (PPM)]]&gt;0.05, "Some evidence", IF(AllDataApr[[#This Row],[Phosphate (PPM)]]=0, ""))))</f>
        <v>High</v>
      </c>
      <c r="U268">
        <v>0</v>
      </c>
      <c r="V268" t="s">
        <v>194</v>
      </c>
    </row>
    <row r="269" spans="1:22" x14ac:dyDescent="0.3">
      <c r="A269" t="s">
        <v>653</v>
      </c>
      <c r="B269" s="2">
        <v>45278</v>
      </c>
      <c r="C269" s="2" t="str" cm="1">
        <f t="array" ref="C26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69">
        <f>YEAR(AllDataApr[[#This Row],[Date]])</f>
        <v>2023</v>
      </c>
      <c r="E269" s="1">
        <v>0.35486111111111113</v>
      </c>
      <c r="F269" s="2" t="str">
        <f>IF(AND(AllDataApr[[#This Row],[Time]]&lt;0.5, AllDataApr[[#This Row],[Time]]&gt;0.17)=TRUE, "Morning", IF(AND(AllDataApr[[#This Row],[Time]]&lt;0.75, AllDataApr[[#This Row],[Time]]&gt;=0.5)=TRUE, "Afternoon", IF(AND(AllDataApr[[#This Row],[Time]]&lt;1, AllDataApr[[#This Row],[Time]]&gt;=0.75)=TRUE, "Evening", "Night")))</f>
        <v>Morning</v>
      </c>
      <c r="G269" t="s">
        <v>150</v>
      </c>
      <c r="H269" t="str">
        <f>_xlfn.XLOOKUP(AllDataApr[[#This Row],[Location Name]], Locations[Row Labels],Locations[Group As])</f>
        <v>Stour Stretton-on-Fosse Village</v>
      </c>
      <c r="I269" t="str">
        <f>_xlfn.XLOOKUP(AllDataApr[[#This Row],[Site Name]],LocationsKey[Site Name],LocationsKey[Region])</f>
        <v>Shipston</v>
      </c>
      <c r="J269" t="str">
        <f>_xlfn.XLOOKUP(AllDataApr[[#This Row],[Site Name]],LocationsKey[Site Name], LocationsKey[Waterway])</f>
        <v>Stour</v>
      </c>
      <c r="K269" t="s">
        <v>161</v>
      </c>
      <c r="L269">
        <v>52.046546999999997</v>
      </c>
      <c r="M269">
        <v>-1.6734709999999999</v>
      </c>
      <c r="N269" t="s">
        <v>42</v>
      </c>
      <c r="O269">
        <v>660</v>
      </c>
      <c r="P269">
        <v>9.6</v>
      </c>
      <c r="Q269">
        <v>2</v>
      </c>
      <c r="R269" s="7" t="str">
        <f>IF(AllDataApr[[#This Row],[Nitrate (PPM)]]&gt;2, "Very high", IF(AllDataApr[[#This Row],[Nitrate (PPM)]]&gt;1, "High", IF(AllDataApr[[#This Row],[Nitrate (PPM)]]&gt;0.5, "Some evidence", IF(AllDataApr[[#This Row],[Nitrate (PPM)]]&gt;0, "No evidence", IF(AllDataApr[[#This Row],[Nitrate (PPM)]]=0, "")))))</f>
        <v>High</v>
      </c>
      <c r="S269">
        <v>1.1100000000000001</v>
      </c>
      <c r="T269" s="7" t="str">
        <f>IF(AllDataApr[[#This Row],[Phosphate (PPM)]]&gt;0.5, "Very high", IF(AllDataApr[[#This Row],[Phosphate (PPM)]]&gt;0.1, "High", IF(AllDataApr[[#This Row],[Phosphate (PPM)]]&gt;0.05, "Some evidence", IF(AllDataApr[[#This Row],[Phosphate (PPM)]]=0, ""))))</f>
        <v>Very high</v>
      </c>
      <c r="U269">
        <v>0.2</v>
      </c>
    </row>
    <row r="270" spans="1:22" x14ac:dyDescent="0.3">
      <c r="A270" t="s">
        <v>652</v>
      </c>
      <c r="B270" s="2">
        <v>45278</v>
      </c>
      <c r="C270" s="2" t="str" cm="1">
        <f t="array" ref="C27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70">
        <f>YEAR(AllDataApr[[#This Row],[Date]])</f>
        <v>2023</v>
      </c>
      <c r="E270" s="1">
        <v>0.36388888888888887</v>
      </c>
      <c r="F270" s="2" t="str">
        <f>IF(AND(AllDataApr[[#This Row],[Time]]&lt;0.5, AllDataApr[[#This Row],[Time]]&gt;0.17)=TRUE, "Morning", IF(AND(AllDataApr[[#This Row],[Time]]&lt;0.75, AllDataApr[[#This Row],[Time]]&gt;=0.5)=TRUE, "Afternoon", IF(AND(AllDataApr[[#This Row],[Time]]&lt;1, AllDataApr[[#This Row],[Time]]&gt;=0.75)=TRUE, "Evening", "Night")))</f>
        <v>Morning</v>
      </c>
      <c r="G270" t="s">
        <v>150</v>
      </c>
      <c r="H270" t="str">
        <f>_xlfn.XLOOKUP(AllDataApr[[#This Row],[Location Name]], Locations[Row Labels],Locations[Group As])</f>
        <v>Stour Stretton-on-Fosse Sewage Works</v>
      </c>
      <c r="I270" t="str">
        <f>_xlfn.XLOOKUP(AllDataApr[[#This Row],[Site Name]],LocationsKey[Site Name],LocationsKey[Region])</f>
        <v>Shipston</v>
      </c>
      <c r="J270" t="str">
        <f>_xlfn.XLOOKUP(AllDataApr[[#This Row],[Site Name]],LocationsKey[Site Name], LocationsKey[Waterway])</f>
        <v>Stour</v>
      </c>
      <c r="K270" t="s">
        <v>151</v>
      </c>
      <c r="L270">
        <v>52.045648999999997</v>
      </c>
      <c r="M270">
        <v>-1.6719459999999999</v>
      </c>
      <c r="N270" t="s">
        <v>18</v>
      </c>
      <c r="O270">
        <v>667</v>
      </c>
      <c r="P270">
        <v>9.8000000000000007</v>
      </c>
      <c r="Q270">
        <v>3</v>
      </c>
      <c r="R270" s="7" t="str">
        <f>IF(AllDataApr[[#This Row],[Nitrate (PPM)]]&gt;2, "Very high", IF(AllDataApr[[#This Row],[Nitrate (PPM)]]&gt;1, "High", IF(AllDataApr[[#This Row],[Nitrate (PPM)]]&gt;0.5, "Some evidence", IF(AllDataApr[[#This Row],[Nitrate (PPM)]]&gt;0, "No evidence", IF(AllDataApr[[#This Row],[Nitrate (PPM)]]=0, "")))))</f>
        <v>Very high</v>
      </c>
      <c r="S270">
        <v>2.16</v>
      </c>
      <c r="T270" s="7" t="str">
        <f>IF(AllDataApr[[#This Row],[Phosphate (PPM)]]&gt;0.5, "Very high", IF(AllDataApr[[#This Row],[Phosphate (PPM)]]&gt;0.1, "High", IF(AllDataApr[[#This Row],[Phosphate (PPM)]]&gt;0.05, "Some evidence", IF(AllDataApr[[#This Row],[Phosphate (PPM)]]=0, ""))))</f>
        <v>Very high</v>
      </c>
      <c r="U270">
        <v>0.3</v>
      </c>
    </row>
    <row r="271" spans="1:22" x14ac:dyDescent="0.3">
      <c r="A271" t="s">
        <v>649</v>
      </c>
      <c r="B271" s="2">
        <v>45278</v>
      </c>
      <c r="C271" s="2" t="str" cm="1">
        <f t="array" ref="C27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71">
        <f>YEAR(AllDataApr[[#This Row],[Date]])</f>
        <v>2023</v>
      </c>
      <c r="E271" s="1">
        <v>0.62361111111111112</v>
      </c>
      <c r="F271" s="2" t="str">
        <f>IF(AND(AllDataApr[[#This Row],[Time]]&lt;0.5, AllDataApr[[#This Row],[Time]]&gt;0.17)=TRUE, "Morning", IF(AND(AllDataApr[[#This Row],[Time]]&lt;0.75, AllDataApr[[#This Row],[Time]]&gt;=0.5)=TRUE, "Afternoon", IF(AND(AllDataApr[[#This Row],[Time]]&lt;1, AllDataApr[[#This Row],[Time]]&gt;=0.75)=TRUE, "Evening", "Night")))</f>
        <v>Afternoon</v>
      </c>
      <c r="G271" t="s">
        <v>52</v>
      </c>
      <c r="H271" t="str">
        <f>_xlfn.XLOOKUP(AllDataApr[[#This Row],[Location Name]], Locations[Row Labels],Locations[Group As])</f>
        <v>Carrant Bredon Rd</v>
      </c>
      <c r="I271" t="str">
        <f>_xlfn.XLOOKUP(AllDataApr[[#This Row],[Site Name]],LocationsKey[Site Name],LocationsKey[Region])</f>
        <v>Tewkesbury</v>
      </c>
      <c r="J271" t="str">
        <f>_xlfn.XLOOKUP(AllDataApr[[#This Row],[Site Name]],LocationsKey[Site Name], LocationsKey[Waterway])</f>
        <v>Carrant</v>
      </c>
      <c r="K271" t="s">
        <v>53</v>
      </c>
      <c r="N271" t="s">
        <v>200</v>
      </c>
      <c r="O271">
        <v>676</v>
      </c>
      <c r="P271">
        <v>10.6</v>
      </c>
      <c r="Q271">
        <v>5</v>
      </c>
      <c r="R271" s="7" t="str">
        <f>IF(AllDataApr[[#This Row],[Nitrate (PPM)]]&gt;2, "Very high", IF(AllDataApr[[#This Row],[Nitrate (PPM)]]&gt;1, "High", IF(AllDataApr[[#This Row],[Nitrate (PPM)]]&gt;0.5, "Some evidence", IF(AllDataApr[[#This Row],[Nitrate (PPM)]]&gt;0, "No evidence", IF(AllDataApr[[#This Row],[Nitrate (PPM)]]=0, "")))))</f>
        <v>Very high</v>
      </c>
      <c r="S271">
        <v>0.3</v>
      </c>
      <c r="T271" s="7" t="str">
        <f>IF(AllDataApr[[#This Row],[Phosphate (PPM)]]&gt;0.5, "Very high", IF(AllDataApr[[#This Row],[Phosphate (PPM)]]&gt;0.1, "High", IF(AllDataApr[[#This Row],[Phosphate (PPM)]]&gt;0.05, "Some evidence", IF(AllDataApr[[#This Row],[Phosphate (PPM)]]=0, ""))))</f>
        <v>High</v>
      </c>
      <c r="U271">
        <v>1</v>
      </c>
    </row>
    <row r="272" spans="1:22" x14ac:dyDescent="0.3">
      <c r="A272" t="s">
        <v>651</v>
      </c>
      <c r="B272" s="2">
        <v>45279</v>
      </c>
      <c r="C272" s="2" t="str" cm="1">
        <f t="array" ref="C27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72">
        <f>YEAR(AllDataApr[[#This Row],[Date]])</f>
        <v>2023</v>
      </c>
      <c r="E272" s="1">
        <v>0.45277777777777778</v>
      </c>
      <c r="F272" s="2" t="str">
        <f>IF(AND(AllDataApr[[#This Row],[Time]]&lt;0.5, AllDataApr[[#This Row],[Time]]&gt;0.17)=TRUE, "Morning", IF(AND(AllDataApr[[#This Row],[Time]]&lt;0.75, AllDataApr[[#This Row],[Time]]&gt;=0.5)=TRUE, "Afternoon", IF(AND(AllDataApr[[#This Row],[Time]]&lt;1, AllDataApr[[#This Row],[Time]]&gt;=0.75)=TRUE, "Evening", "Night")))</f>
        <v>Morning</v>
      </c>
      <c r="G272" t="s">
        <v>139</v>
      </c>
      <c r="H272" t="str">
        <f>_xlfn.XLOOKUP(AllDataApr[[#This Row],[Location Name]], Locations[Row Labels],Locations[Group As])</f>
        <v>Swiffen Bank</v>
      </c>
      <c r="I272" t="str">
        <f>_xlfn.XLOOKUP(AllDataApr[[#This Row],[Site Name]],LocationsKey[Site Name],LocationsKey[Region])</f>
        <v>Stratford</v>
      </c>
      <c r="J272" t="str">
        <f>_xlfn.XLOOKUP(AllDataApr[[#This Row],[Site Name]],LocationsKey[Site Name], LocationsKey[Waterway])</f>
        <v>Avon</v>
      </c>
      <c r="K272" t="s">
        <v>130</v>
      </c>
      <c r="L272">
        <v>52.206583999999999</v>
      </c>
      <c r="M272">
        <v>-1.654034</v>
      </c>
      <c r="N272" t="s">
        <v>18</v>
      </c>
      <c r="O272">
        <v>697</v>
      </c>
      <c r="P272">
        <v>11.6</v>
      </c>
      <c r="Q272">
        <v>5</v>
      </c>
      <c r="R272" s="7" t="str">
        <f>IF(AllDataApr[[#This Row],[Nitrate (PPM)]]&gt;2, "Very high", IF(AllDataApr[[#This Row],[Nitrate (PPM)]]&gt;1, "High", IF(AllDataApr[[#This Row],[Nitrate (PPM)]]&gt;0.5, "Some evidence", IF(AllDataApr[[#This Row],[Nitrate (PPM)]]&gt;0, "No evidence", IF(AllDataApr[[#This Row],[Nitrate (PPM)]]=0, "")))))</f>
        <v>Very high</v>
      </c>
      <c r="S272">
        <v>0.38</v>
      </c>
      <c r="T272" s="7" t="str">
        <f>IF(AllDataApr[[#This Row],[Phosphate (PPM)]]&gt;0.5, "Very high", IF(AllDataApr[[#This Row],[Phosphate (PPM)]]&gt;0.1, "High", IF(AllDataApr[[#This Row],[Phosphate (PPM)]]&gt;0.05, "Some evidence", IF(AllDataApr[[#This Row],[Phosphate (PPM)]]=0, ""))))</f>
        <v>High</v>
      </c>
      <c r="U272">
        <v>0</v>
      </c>
      <c r="V272" t="s">
        <v>178</v>
      </c>
    </row>
    <row r="273" spans="1:22" x14ac:dyDescent="0.3">
      <c r="A273" t="s">
        <v>650</v>
      </c>
      <c r="B273" s="2">
        <v>45279</v>
      </c>
      <c r="C273" s="2" t="str" cm="1">
        <f t="array" ref="C27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73">
        <f>YEAR(AllDataApr[[#This Row],[Date]])</f>
        <v>2023</v>
      </c>
      <c r="E273" s="1">
        <v>0.46875</v>
      </c>
      <c r="F273" s="2" t="str">
        <f>IF(AND(AllDataApr[[#This Row],[Time]]&lt;0.5, AllDataApr[[#This Row],[Time]]&gt;0.17)=TRUE, "Morning", IF(AND(AllDataApr[[#This Row],[Time]]&lt;0.75, AllDataApr[[#This Row],[Time]]&gt;=0.5)=TRUE, "Afternoon", IF(AND(AllDataApr[[#This Row],[Time]]&lt;1, AllDataApr[[#This Row],[Time]]&gt;=0.75)=TRUE, "Evening", "Night")))</f>
        <v>Morning</v>
      </c>
      <c r="G273" t="s">
        <v>129</v>
      </c>
      <c r="H273" t="str">
        <f>_xlfn.XLOOKUP(AllDataApr[[#This Row],[Location Name]], Locations[Row Labels],Locations[Group As])</f>
        <v>Alveston Weir</v>
      </c>
      <c r="I273" t="str">
        <f>_xlfn.XLOOKUP(AllDataApr[[#This Row],[Site Name]],LocationsKey[Site Name],LocationsKey[Region])</f>
        <v>Stratford</v>
      </c>
      <c r="J273" t="str">
        <f>_xlfn.XLOOKUP(AllDataApr[[#This Row],[Site Name]],LocationsKey[Site Name], LocationsKey[Waterway])</f>
        <v>Avon</v>
      </c>
      <c r="K273" t="s">
        <v>128</v>
      </c>
      <c r="L273">
        <v>52.212288999999998</v>
      </c>
      <c r="M273">
        <v>-1.660452</v>
      </c>
      <c r="N273" t="s">
        <v>18</v>
      </c>
      <c r="O273">
        <v>683</v>
      </c>
      <c r="P273">
        <v>11.8</v>
      </c>
      <c r="Q273">
        <v>5</v>
      </c>
      <c r="R273" s="7" t="str">
        <f>IF(AllDataApr[[#This Row],[Nitrate (PPM)]]&gt;2, "Very high", IF(AllDataApr[[#This Row],[Nitrate (PPM)]]&gt;1, "High", IF(AllDataApr[[#This Row],[Nitrate (PPM)]]&gt;0.5, "Some evidence", IF(AllDataApr[[#This Row],[Nitrate (PPM)]]&gt;0, "No evidence", IF(AllDataApr[[#This Row],[Nitrate (PPM)]]=0, "")))))</f>
        <v>Very high</v>
      </c>
      <c r="S273">
        <v>0.37</v>
      </c>
      <c r="T273" s="7" t="str">
        <f>IF(AllDataApr[[#This Row],[Phosphate (PPM)]]&gt;0.5, "Very high", IF(AllDataApr[[#This Row],[Phosphate (PPM)]]&gt;0.1, "High", IF(AllDataApr[[#This Row],[Phosphate (PPM)]]&gt;0.05, "Some evidence", IF(AllDataApr[[#This Row],[Phosphate (PPM)]]=0, ""))))</f>
        <v>High</v>
      </c>
      <c r="U273">
        <v>2</v>
      </c>
      <c r="V273" t="s">
        <v>177</v>
      </c>
    </row>
    <row r="274" spans="1:22" x14ac:dyDescent="0.3">
      <c r="A274" t="s">
        <v>648</v>
      </c>
      <c r="B274" s="2">
        <v>45280</v>
      </c>
      <c r="C274" s="2" t="str" cm="1">
        <f t="array" ref="C27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74">
        <f>YEAR(AllDataApr[[#This Row],[Date]])</f>
        <v>2023</v>
      </c>
      <c r="E274" s="1">
        <v>0.65416666666666667</v>
      </c>
      <c r="F274" s="2" t="str">
        <f>IF(AND(AllDataApr[[#This Row],[Time]]&lt;0.5, AllDataApr[[#This Row],[Time]]&gt;0.17)=TRUE, "Morning", IF(AND(AllDataApr[[#This Row],[Time]]&lt;0.75, AllDataApr[[#This Row],[Time]]&gt;=0.5)=TRUE, "Afternoon", IF(AND(AllDataApr[[#This Row],[Time]]&lt;1, AllDataApr[[#This Row],[Time]]&gt;=0.75)=TRUE, "Evening", "Night")))</f>
        <v>Afternoon</v>
      </c>
      <c r="G274" t="s">
        <v>55</v>
      </c>
      <c r="H274" t="str">
        <f>_xlfn.XLOOKUP(AllDataApr[[#This Row],[Location Name]], Locations[Row Labels],Locations[Group As])</f>
        <v>Stour Newbold Mill</v>
      </c>
      <c r="I274" t="str">
        <f>_xlfn.XLOOKUP(AllDataApr[[#This Row],[Site Name]],LocationsKey[Site Name],LocationsKey[Region])</f>
        <v>Shipston</v>
      </c>
      <c r="J274" t="str">
        <f>_xlfn.XLOOKUP(AllDataApr[[#This Row],[Site Name]],LocationsKey[Site Name], LocationsKey[Waterway])</f>
        <v>Stour</v>
      </c>
      <c r="K274" t="s">
        <v>925</v>
      </c>
      <c r="N274" t="s">
        <v>18</v>
      </c>
      <c r="O274">
        <v>664</v>
      </c>
      <c r="P274">
        <v>9.1999999999999993</v>
      </c>
      <c r="Q274">
        <v>4</v>
      </c>
      <c r="R274" s="7" t="str">
        <f>IF(AllDataApr[[#This Row],[Nitrate (PPM)]]&gt;2, "Very high", IF(AllDataApr[[#This Row],[Nitrate (PPM)]]&gt;1, "High", IF(AllDataApr[[#This Row],[Nitrate (PPM)]]&gt;0.5, "Some evidence", IF(AllDataApr[[#This Row],[Nitrate (PPM)]]&gt;0, "No evidence", IF(AllDataApr[[#This Row],[Nitrate (PPM)]]=0, "")))))</f>
        <v>Very high</v>
      </c>
      <c r="S274">
        <v>0.26</v>
      </c>
      <c r="T274" s="7" t="str">
        <f>IF(AllDataApr[[#This Row],[Phosphate (PPM)]]&gt;0.5, "Very high", IF(AllDataApr[[#This Row],[Phosphate (PPM)]]&gt;0.1, "High", IF(AllDataApr[[#This Row],[Phosphate (PPM)]]&gt;0.05, "Some evidence", IF(AllDataApr[[#This Row],[Phosphate (PPM)]]=0, ""))))</f>
        <v>High</v>
      </c>
      <c r="U274">
        <v>3.2</v>
      </c>
      <c r="V274" t="s">
        <v>1010</v>
      </c>
    </row>
    <row r="275" spans="1:22" x14ac:dyDescent="0.3">
      <c r="A275" t="s">
        <v>643</v>
      </c>
      <c r="B275" s="2">
        <v>45280</v>
      </c>
      <c r="C275" s="2" t="str" cm="1">
        <f t="array" ref="C27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75">
        <f>YEAR(AllDataApr[[#This Row],[Date]])</f>
        <v>2023</v>
      </c>
      <c r="E275" s="1">
        <v>0.66666666666666663</v>
      </c>
      <c r="F275" s="2" t="str">
        <f>IF(AND(AllDataApr[[#This Row],[Time]]&lt;0.5, AllDataApr[[#This Row],[Time]]&gt;0.17)=TRUE, "Morning", IF(AND(AllDataApr[[#This Row],[Time]]&lt;0.75, AllDataApr[[#This Row],[Time]]&gt;=0.5)=TRUE, "Afternoon", IF(AND(AllDataApr[[#This Row],[Time]]&lt;1, AllDataApr[[#This Row],[Time]]&gt;=0.75)=TRUE, "Evening", "Night")))</f>
        <v>Afternoon</v>
      </c>
      <c r="G275" t="s">
        <v>20</v>
      </c>
      <c r="H275" t="str">
        <f>_xlfn.XLOOKUP(AllDataApr[[#This Row],[Location Name]], Locations[Row Labels],Locations[Group As])</f>
        <v>Weston-on-Avon</v>
      </c>
      <c r="I275" t="str">
        <f>_xlfn.XLOOKUP(AllDataApr[[#This Row],[Site Name]],LocationsKey[Site Name],LocationsKey[Region])</f>
        <v>Stratford</v>
      </c>
      <c r="J275" t="str">
        <f>_xlfn.XLOOKUP(AllDataApr[[#This Row],[Site Name]],LocationsKey[Site Name], LocationsKey[Waterway])</f>
        <v>Avon</v>
      </c>
      <c r="K275" t="s">
        <v>23</v>
      </c>
      <c r="L275">
        <v>52.167430000000003</v>
      </c>
      <c r="M275">
        <v>-1.7744800000000001</v>
      </c>
      <c r="N275" t="s">
        <v>18</v>
      </c>
      <c r="O275">
        <v>684</v>
      </c>
      <c r="P275">
        <v>10.7</v>
      </c>
      <c r="Q275">
        <v>10</v>
      </c>
      <c r="R275" s="7" t="str">
        <f>IF(AllDataApr[[#This Row],[Nitrate (PPM)]]&gt;2, "Very high", IF(AllDataApr[[#This Row],[Nitrate (PPM)]]&gt;1, "High", IF(AllDataApr[[#This Row],[Nitrate (PPM)]]&gt;0.5, "Some evidence", IF(AllDataApr[[#This Row],[Nitrate (PPM)]]&gt;0, "No evidence", IF(AllDataApr[[#This Row],[Nitrate (PPM)]]=0, "")))))</f>
        <v>Very high</v>
      </c>
      <c r="S275">
        <v>0.4</v>
      </c>
      <c r="T275" s="7" t="str">
        <f>IF(AllDataApr[[#This Row],[Phosphate (PPM)]]&gt;0.5, "Very high", IF(AllDataApr[[#This Row],[Phosphate (PPM)]]&gt;0.1, "High", IF(AllDataApr[[#This Row],[Phosphate (PPM)]]&gt;0.05, "Some evidence", IF(AllDataApr[[#This Row],[Phosphate (PPM)]]=0, ""))))</f>
        <v>High</v>
      </c>
      <c r="U275">
        <v>0</v>
      </c>
    </row>
    <row r="276" spans="1:22" x14ac:dyDescent="0.3">
      <c r="A276" t="s">
        <v>642</v>
      </c>
      <c r="B276" s="2">
        <v>45281</v>
      </c>
      <c r="C276" s="2" t="str" cm="1">
        <f t="array" ref="C27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76">
        <f>YEAR(AllDataApr[[#This Row],[Date]])</f>
        <v>2023</v>
      </c>
      <c r="E276" s="1">
        <v>0.45833333333333331</v>
      </c>
      <c r="F276" s="2" t="str">
        <f>IF(AND(AllDataApr[[#This Row],[Time]]&lt;0.5, AllDataApr[[#This Row],[Time]]&gt;0.17)=TRUE, "Morning", IF(AND(AllDataApr[[#This Row],[Time]]&lt;0.75, AllDataApr[[#This Row],[Time]]&gt;=0.5)=TRUE, "Afternoon", IF(AND(AllDataApr[[#This Row],[Time]]&lt;1, AllDataApr[[#This Row],[Time]]&gt;=0.75)=TRUE, "Evening", "Night")))</f>
        <v>Morning</v>
      </c>
      <c r="G276" t="s">
        <v>46</v>
      </c>
      <c r="H276" t="str">
        <f>_xlfn.XLOOKUP(AllDataApr[[#This Row],[Location Name]], Locations[Row Labels],Locations[Group As])</f>
        <v>Swilgate</v>
      </c>
      <c r="I276" t="str">
        <f>_xlfn.XLOOKUP(AllDataApr[[#This Row],[Site Name]],LocationsKey[Site Name],LocationsKey[Region])</f>
        <v>Tewkesbury</v>
      </c>
      <c r="J276" t="str">
        <f>_xlfn.XLOOKUP(AllDataApr[[#This Row],[Site Name]],LocationsKey[Site Name], LocationsKey[Waterway])</f>
        <v>Swilgate</v>
      </c>
      <c r="K276" t="s">
        <v>47</v>
      </c>
      <c r="N276" t="s">
        <v>200</v>
      </c>
      <c r="O276">
        <v>875</v>
      </c>
      <c r="P276">
        <v>11</v>
      </c>
      <c r="Q276">
        <v>5</v>
      </c>
      <c r="R276" s="7" t="str">
        <f>IF(AllDataApr[[#This Row],[Nitrate (PPM)]]&gt;2, "Very high", IF(AllDataApr[[#This Row],[Nitrate (PPM)]]&gt;1, "High", IF(AllDataApr[[#This Row],[Nitrate (PPM)]]&gt;0.5, "Some evidence", IF(AllDataApr[[#This Row],[Nitrate (PPM)]]&gt;0, "No evidence", IF(AllDataApr[[#This Row],[Nitrate (PPM)]]=0, "")))))</f>
        <v>Very high</v>
      </c>
      <c r="S276">
        <v>0.3</v>
      </c>
      <c r="T276" s="7" t="str">
        <f>IF(AllDataApr[[#This Row],[Phosphate (PPM)]]&gt;0.5, "Very high", IF(AllDataApr[[#This Row],[Phosphate (PPM)]]&gt;0.1, "High", IF(AllDataApr[[#This Row],[Phosphate (PPM)]]&gt;0.05, "Some evidence", IF(AllDataApr[[#This Row],[Phosphate (PPM)]]=0, ""))))</f>
        <v>High</v>
      </c>
      <c r="U276">
        <v>1</v>
      </c>
    </row>
    <row r="277" spans="1:22" x14ac:dyDescent="0.3">
      <c r="A277" t="s">
        <v>640</v>
      </c>
      <c r="B277" s="2">
        <v>45283</v>
      </c>
      <c r="C277" s="2" t="str" cm="1">
        <f t="array" ref="C27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77">
        <f>YEAR(AllDataApr[[#This Row],[Date]])</f>
        <v>2023</v>
      </c>
      <c r="E277" s="1">
        <v>0.48958333333333331</v>
      </c>
      <c r="F277" s="2" t="str">
        <f>IF(AND(AllDataApr[[#This Row],[Time]]&lt;0.5, AllDataApr[[#This Row],[Time]]&gt;0.17)=TRUE, "Morning", IF(AND(AllDataApr[[#This Row],[Time]]&lt;0.75, AllDataApr[[#This Row],[Time]]&gt;=0.5)=TRUE, "Afternoon", IF(AND(AllDataApr[[#This Row],[Time]]&lt;1, AllDataApr[[#This Row],[Time]]&gt;=0.75)=TRUE, "Evening", "Night")))</f>
        <v>Morning</v>
      </c>
      <c r="G277" t="s">
        <v>52</v>
      </c>
      <c r="H277" t="str">
        <f>_xlfn.XLOOKUP(AllDataApr[[#This Row],[Location Name]], Locations[Row Labels],Locations[Group As])</f>
        <v>Carrant Bredon Rd</v>
      </c>
      <c r="I277" t="str">
        <f>_xlfn.XLOOKUP(AllDataApr[[#This Row],[Site Name]],LocationsKey[Site Name],LocationsKey[Region])</f>
        <v>Tewkesbury</v>
      </c>
      <c r="J277" t="str">
        <f>_xlfn.XLOOKUP(AllDataApr[[#This Row],[Site Name]],LocationsKey[Site Name], LocationsKey[Waterway])</f>
        <v>Carrant</v>
      </c>
      <c r="K277" t="s">
        <v>53</v>
      </c>
      <c r="N277" t="s">
        <v>200</v>
      </c>
      <c r="O277">
        <v>549</v>
      </c>
      <c r="P277">
        <v>10.1</v>
      </c>
      <c r="Q277">
        <v>7</v>
      </c>
      <c r="R277" s="7" t="str">
        <f>IF(AllDataApr[[#This Row],[Nitrate (PPM)]]&gt;2, "Very high", IF(AllDataApr[[#This Row],[Nitrate (PPM)]]&gt;1, "High", IF(AllDataApr[[#This Row],[Nitrate (PPM)]]&gt;0.5, "Some evidence", IF(AllDataApr[[#This Row],[Nitrate (PPM)]]&gt;0, "No evidence", IF(AllDataApr[[#This Row],[Nitrate (PPM)]]=0, "")))))</f>
        <v>Very high</v>
      </c>
      <c r="S277">
        <v>0.23</v>
      </c>
      <c r="T277" s="7" t="str">
        <f>IF(AllDataApr[[#This Row],[Phosphate (PPM)]]&gt;0.5, "Very high", IF(AllDataApr[[#This Row],[Phosphate (PPM)]]&gt;0.1, "High", IF(AllDataApr[[#This Row],[Phosphate (PPM)]]&gt;0.05, "Some evidence", IF(AllDataApr[[#This Row],[Phosphate (PPM)]]=0, ""))))</f>
        <v>High</v>
      </c>
      <c r="U277">
        <v>0.15</v>
      </c>
    </row>
    <row r="278" spans="1:22" x14ac:dyDescent="0.3">
      <c r="A278" t="s">
        <v>641</v>
      </c>
      <c r="B278" s="2">
        <v>45283</v>
      </c>
      <c r="C278" s="2" t="str" cm="1">
        <f t="array" ref="C27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78">
        <f>YEAR(AllDataApr[[#This Row],[Date]])</f>
        <v>2023</v>
      </c>
      <c r="E278" s="1">
        <v>0.61388888888888893</v>
      </c>
      <c r="F278" s="2" t="str">
        <f>IF(AND(AllDataApr[[#This Row],[Time]]&lt;0.5, AllDataApr[[#This Row],[Time]]&gt;0.17)=TRUE, "Morning", IF(AND(AllDataApr[[#This Row],[Time]]&lt;0.75, AllDataApr[[#This Row],[Time]]&gt;=0.5)=TRUE, "Afternoon", IF(AND(AllDataApr[[#This Row],[Time]]&lt;1, AllDataApr[[#This Row],[Time]]&gt;=0.75)=TRUE, "Evening", "Night")))</f>
        <v>Afternoon</v>
      </c>
      <c r="G278" t="s">
        <v>11</v>
      </c>
      <c r="H278" t="str">
        <f>_xlfn.XLOOKUP(AllDataApr[[#This Row],[Location Name]], Locations[Row Labels],Locations[Group As])</f>
        <v>Abbey Mill</v>
      </c>
      <c r="I278" t="str">
        <f>_xlfn.XLOOKUP(AllDataApr[[#This Row],[Site Name]],LocationsKey[Site Name],LocationsKey[Region])</f>
        <v>Tewkesbury</v>
      </c>
      <c r="J278" t="str">
        <f>_xlfn.XLOOKUP(AllDataApr[[#This Row],[Site Name]],LocationsKey[Site Name], LocationsKey[Waterway])</f>
        <v>Avon</v>
      </c>
      <c r="K278" t="s">
        <v>12</v>
      </c>
      <c r="L278">
        <v>51.991292000000001</v>
      </c>
      <c r="M278">
        <v>-2.1625369999999999</v>
      </c>
      <c r="N278" t="s">
        <v>200</v>
      </c>
      <c r="O278">
        <v>705</v>
      </c>
      <c r="P278">
        <v>12</v>
      </c>
      <c r="Q278">
        <v>10</v>
      </c>
      <c r="R278" s="7" t="str">
        <f>IF(AllDataApr[[#This Row],[Nitrate (PPM)]]&gt;2, "Very high", IF(AllDataApr[[#This Row],[Nitrate (PPM)]]&gt;1, "High", IF(AllDataApr[[#This Row],[Nitrate (PPM)]]&gt;0.5, "Some evidence", IF(AllDataApr[[#This Row],[Nitrate (PPM)]]&gt;0, "No evidence", IF(AllDataApr[[#This Row],[Nitrate (PPM)]]=0, "")))))</f>
        <v>Very high</v>
      </c>
      <c r="S278">
        <v>0.53</v>
      </c>
      <c r="T278" s="7" t="str">
        <f>IF(AllDataApr[[#This Row],[Phosphate (PPM)]]&gt;0.5, "Very high", IF(AllDataApr[[#This Row],[Phosphate (PPM)]]&gt;0.1, "High", IF(AllDataApr[[#This Row],[Phosphate (PPM)]]&gt;0.05, "Some evidence", IF(AllDataApr[[#This Row],[Phosphate (PPM)]]=0, ""))))</f>
        <v>Very high</v>
      </c>
      <c r="U278">
        <v>0.3</v>
      </c>
    </row>
    <row r="279" spans="1:22" x14ac:dyDescent="0.3">
      <c r="A279" t="s">
        <v>571</v>
      </c>
      <c r="B279" s="2">
        <v>45283</v>
      </c>
      <c r="C279" s="2" t="str" cm="1">
        <f t="array" ref="C27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79">
        <f>YEAR(AllDataApr[[#This Row],[Date]])</f>
        <v>2023</v>
      </c>
      <c r="E279" s="1">
        <v>0.68055555555555558</v>
      </c>
      <c r="F279" s="2" t="str">
        <f>IF(AND(AllDataApr[[#This Row],[Time]]&lt;0.5, AllDataApr[[#This Row],[Time]]&gt;0.17)=TRUE, "Morning", IF(AND(AllDataApr[[#This Row],[Time]]&lt;0.75, AllDataApr[[#This Row],[Time]]&gt;=0.5)=TRUE, "Afternoon", IF(AND(AllDataApr[[#This Row],[Time]]&lt;1, AllDataApr[[#This Row],[Time]]&gt;=0.75)=TRUE, "Evening", "Night")))</f>
        <v>Afternoon</v>
      </c>
      <c r="G279" t="s">
        <v>112</v>
      </c>
      <c r="H279" t="str">
        <f>_xlfn.XLOOKUP(AllDataApr[[#This Row],[Location Name]], Locations[Row Labels],Locations[Group As])</f>
        <v>Clifford Chambers Road Bridge</v>
      </c>
      <c r="I279" t="str">
        <f>_xlfn.XLOOKUP(AllDataApr[[#This Row],[Site Name]],LocationsKey[Site Name],LocationsKey[Region])</f>
        <v>Stratford</v>
      </c>
      <c r="J279" t="str">
        <f>_xlfn.XLOOKUP(AllDataApr[[#This Row],[Site Name]],LocationsKey[Site Name], LocationsKey[Waterway])</f>
        <v>Stour</v>
      </c>
      <c r="K279" t="s">
        <v>226</v>
      </c>
      <c r="L279">
        <v>52.172840000000001</v>
      </c>
      <c r="M279">
        <v>-1.71377</v>
      </c>
      <c r="N279" t="s">
        <v>1047</v>
      </c>
      <c r="O279">
        <v>636</v>
      </c>
      <c r="P279">
        <v>12.7</v>
      </c>
      <c r="Q279">
        <v>5</v>
      </c>
      <c r="R279" s="7" t="str">
        <f>IF(AllDataApr[[#This Row],[Nitrate (PPM)]]&gt;2, "Very high", IF(AllDataApr[[#This Row],[Nitrate (PPM)]]&gt;1, "High", IF(AllDataApr[[#This Row],[Nitrate (PPM)]]&gt;0.5, "Some evidence", IF(AllDataApr[[#This Row],[Nitrate (PPM)]]&gt;0, "No evidence", IF(AllDataApr[[#This Row],[Nitrate (PPM)]]=0, "")))))</f>
        <v>Very high</v>
      </c>
      <c r="S279">
        <v>0.24</v>
      </c>
      <c r="T279" s="7" t="str">
        <f>IF(AllDataApr[[#This Row],[Phosphate (PPM)]]&gt;0.5, "Very high", IF(AllDataApr[[#This Row],[Phosphate (PPM)]]&gt;0.1, "High", IF(AllDataApr[[#This Row],[Phosphate (PPM)]]&gt;0.05, "Some evidence", IF(AllDataApr[[#This Row],[Phosphate (PPM)]]=0, ""))))</f>
        <v>High</v>
      </c>
      <c r="U279">
        <v>1.2</v>
      </c>
    </row>
    <row r="280" spans="1:22" x14ac:dyDescent="0.3">
      <c r="A280" t="s">
        <v>581</v>
      </c>
      <c r="B280" s="2">
        <v>45283</v>
      </c>
      <c r="C280" s="2" t="str" cm="1">
        <f t="array" ref="C28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80">
        <f>YEAR(AllDataApr[[#This Row],[Date]])</f>
        <v>2023</v>
      </c>
      <c r="E280" s="1">
        <v>0.68055555555555558</v>
      </c>
      <c r="F280" s="2" t="str">
        <f>IF(AND(AllDataApr[[#This Row],[Time]]&lt;0.5, AllDataApr[[#This Row],[Time]]&gt;0.17)=TRUE, "Morning", IF(AND(AllDataApr[[#This Row],[Time]]&lt;0.75, AllDataApr[[#This Row],[Time]]&gt;=0.5)=TRUE, "Afternoon", IF(AND(AllDataApr[[#This Row],[Time]]&lt;1, AllDataApr[[#This Row],[Time]]&gt;=0.75)=TRUE, "Evening", "Night")))</f>
        <v>Afternoon</v>
      </c>
      <c r="G280" t="s">
        <v>112</v>
      </c>
      <c r="H280" t="str">
        <f>_xlfn.XLOOKUP(AllDataApr[[#This Row],[Location Name]], Locations[Row Labels],Locations[Group As])</f>
        <v>Clifford Chambers Mill Bridge</v>
      </c>
      <c r="I280" t="str">
        <f>_xlfn.XLOOKUP(AllDataApr[[#This Row],[Site Name]],LocationsKey[Site Name],LocationsKey[Region])</f>
        <v>Stratford</v>
      </c>
      <c r="J280" t="str">
        <f>_xlfn.XLOOKUP(AllDataApr[[#This Row],[Site Name]],LocationsKey[Site Name], LocationsKey[Waterway])</f>
        <v>Stour</v>
      </c>
      <c r="K280" t="s">
        <v>119</v>
      </c>
      <c r="L280">
        <v>52.166370000000001</v>
      </c>
      <c r="M280">
        <v>-1.708032</v>
      </c>
      <c r="N280" t="s">
        <v>1047</v>
      </c>
      <c r="O280">
        <v>626</v>
      </c>
      <c r="P280">
        <v>12.4</v>
      </c>
      <c r="Q280">
        <v>6</v>
      </c>
      <c r="R280" s="7" t="str">
        <f>IF(AllDataApr[[#This Row],[Nitrate (PPM)]]&gt;2, "Very high", IF(AllDataApr[[#This Row],[Nitrate (PPM)]]&gt;1, "High", IF(AllDataApr[[#This Row],[Nitrate (PPM)]]&gt;0.5, "Some evidence", IF(AllDataApr[[#This Row],[Nitrate (PPM)]]&gt;0, "No evidence", IF(AllDataApr[[#This Row],[Nitrate (PPM)]]=0, "")))))</f>
        <v>Very high</v>
      </c>
      <c r="S280">
        <v>0.23</v>
      </c>
      <c r="T280" s="7" t="str">
        <f>IF(AllDataApr[[#This Row],[Phosphate (PPM)]]&gt;0.5, "Very high", IF(AllDataApr[[#This Row],[Phosphate (PPM)]]&gt;0.1, "High", IF(AllDataApr[[#This Row],[Phosphate (PPM)]]&gt;0.05, "Some evidence", IF(AllDataApr[[#This Row],[Phosphate (PPM)]]=0, ""))))</f>
        <v>High</v>
      </c>
      <c r="U280">
        <v>1.2</v>
      </c>
      <c r="V280" t="s">
        <v>239</v>
      </c>
    </row>
    <row r="281" spans="1:22" x14ac:dyDescent="0.3">
      <c r="A281" t="s">
        <v>613</v>
      </c>
      <c r="B281" s="2">
        <v>45284</v>
      </c>
      <c r="C281" s="2" t="str" cm="1">
        <f t="array" ref="C28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81">
        <f>YEAR(AllDataApr[[#This Row],[Date]])</f>
        <v>2023</v>
      </c>
      <c r="E281" s="1">
        <v>0.51388888888888884</v>
      </c>
      <c r="F281" s="2" t="str">
        <f>IF(AND(AllDataApr[[#This Row],[Time]]&lt;0.5, AllDataApr[[#This Row],[Time]]&gt;0.17)=TRUE, "Morning", IF(AND(AllDataApr[[#This Row],[Time]]&lt;0.75, AllDataApr[[#This Row],[Time]]&gt;=0.5)=TRUE, "Afternoon", IF(AND(AllDataApr[[#This Row],[Time]]&lt;1, AllDataApr[[#This Row],[Time]]&gt;=0.75)=TRUE, "Evening", "Night")))</f>
        <v>Afternoon</v>
      </c>
      <c r="G281" t="s">
        <v>20</v>
      </c>
      <c r="H281" t="str">
        <f>_xlfn.XLOOKUP(AllDataApr[[#This Row],[Location Name]], Locations[Row Labels],Locations[Group As])</f>
        <v>Hampton Wood</v>
      </c>
      <c r="I281" t="str">
        <f>_xlfn.XLOOKUP(AllDataApr[[#This Row],[Site Name]],LocationsKey[Site Name],LocationsKey[Region])</f>
        <v>Stratford</v>
      </c>
      <c r="J281" t="str">
        <f>_xlfn.XLOOKUP(AllDataApr[[#This Row],[Site Name]],LocationsKey[Site Name], LocationsKey[Waterway])</f>
        <v>Avon</v>
      </c>
      <c r="K281" t="s">
        <v>25</v>
      </c>
      <c r="L281">
        <v>52.238149999999997</v>
      </c>
      <c r="M281">
        <v>-1.6245799999999999</v>
      </c>
      <c r="N281" t="s">
        <v>18</v>
      </c>
      <c r="O281">
        <v>730</v>
      </c>
      <c r="P281">
        <v>12</v>
      </c>
      <c r="Q281">
        <v>15</v>
      </c>
      <c r="R281" s="7" t="str">
        <f>IF(AllDataApr[[#This Row],[Nitrate (PPM)]]&gt;2, "Very high", IF(AllDataApr[[#This Row],[Nitrate (PPM)]]&gt;1, "High", IF(AllDataApr[[#This Row],[Nitrate (PPM)]]&gt;0.5, "Some evidence", IF(AllDataApr[[#This Row],[Nitrate (PPM)]]&gt;0, "No evidence", IF(AllDataApr[[#This Row],[Nitrate (PPM)]]=0, "")))))</f>
        <v>Very high</v>
      </c>
      <c r="S281">
        <v>0.45</v>
      </c>
      <c r="T281" s="7" t="str">
        <f>IF(AllDataApr[[#This Row],[Phosphate (PPM)]]&gt;0.5, "Very high", IF(AllDataApr[[#This Row],[Phosphate (PPM)]]&gt;0.1, "High", IF(AllDataApr[[#This Row],[Phosphate (PPM)]]&gt;0.05, "Some evidence", IF(AllDataApr[[#This Row],[Phosphate (PPM)]]=0, ""))))</f>
        <v>High</v>
      </c>
      <c r="U281">
        <v>0</v>
      </c>
    </row>
    <row r="282" spans="1:22" x14ac:dyDescent="0.3">
      <c r="A282" t="s">
        <v>611</v>
      </c>
      <c r="B282" s="2">
        <v>45284</v>
      </c>
      <c r="C282" s="2" t="str" cm="1">
        <f t="array" ref="C28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82">
        <f>YEAR(AllDataApr[[#This Row],[Date]])</f>
        <v>2023</v>
      </c>
      <c r="E282" s="1">
        <v>0.53125</v>
      </c>
      <c r="F282" s="2" t="str">
        <f>IF(AND(AllDataApr[[#This Row],[Time]]&lt;0.5, AllDataApr[[#This Row],[Time]]&gt;0.17)=TRUE, "Morning", IF(AND(AllDataApr[[#This Row],[Time]]&lt;0.75, AllDataApr[[#This Row],[Time]]&gt;=0.5)=TRUE, "Afternoon", IF(AND(AllDataApr[[#This Row],[Time]]&lt;1, AllDataApr[[#This Row],[Time]]&gt;=0.75)=TRUE, "Evening", "Night")))</f>
        <v>Afternoon</v>
      </c>
      <c r="G282" t="s">
        <v>95</v>
      </c>
      <c r="H282" t="str">
        <f>_xlfn.XLOOKUP(AllDataApr[[#This Row],[Location Name]], Locations[Row Labels],Locations[Group As])</f>
        <v>Hampton Lucy</v>
      </c>
      <c r="I282" t="str">
        <f>_xlfn.XLOOKUP(AllDataApr[[#This Row],[Site Name]],LocationsKey[Site Name],LocationsKey[Region])</f>
        <v>Stratford</v>
      </c>
      <c r="J282" t="str">
        <f>_xlfn.XLOOKUP(AllDataApr[[#This Row],[Site Name]],LocationsKey[Site Name], LocationsKey[Waterway])</f>
        <v>Avon</v>
      </c>
      <c r="K282" t="s">
        <v>27</v>
      </c>
      <c r="L282">
        <v>52.211680000000001</v>
      </c>
      <c r="M282">
        <v>-1.6244400000000001</v>
      </c>
      <c r="N282" t="s">
        <v>200</v>
      </c>
      <c r="O282">
        <v>732</v>
      </c>
      <c r="P282">
        <v>11.4</v>
      </c>
      <c r="Q282">
        <v>20</v>
      </c>
      <c r="R282" s="7" t="str">
        <f>IF(AllDataApr[[#This Row],[Nitrate (PPM)]]&gt;2, "Very high", IF(AllDataApr[[#This Row],[Nitrate (PPM)]]&gt;1, "High", IF(AllDataApr[[#This Row],[Nitrate (PPM)]]&gt;0.5, "Some evidence", IF(AllDataApr[[#This Row],[Nitrate (PPM)]]&gt;0, "No evidence", IF(AllDataApr[[#This Row],[Nitrate (PPM)]]=0, "")))))</f>
        <v>Very high</v>
      </c>
      <c r="S282">
        <v>0.51</v>
      </c>
      <c r="T282" s="7" t="str">
        <f>IF(AllDataApr[[#This Row],[Phosphate (PPM)]]&gt;0.5, "Very high", IF(AllDataApr[[#This Row],[Phosphate (PPM)]]&gt;0.1, "High", IF(AllDataApr[[#This Row],[Phosphate (PPM)]]&gt;0.05, "Some evidence", IF(AllDataApr[[#This Row],[Phosphate (PPM)]]=0, ""))))</f>
        <v>Very high</v>
      </c>
      <c r="U282">
        <v>0</v>
      </c>
    </row>
    <row r="283" spans="1:22" x14ac:dyDescent="0.3">
      <c r="A283" t="s">
        <v>607</v>
      </c>
      <c r="B283" s="2">
        <v>45286</v>
      </c>
      <c r="C283" s="2" t="str" cm="1">
        <f t="array" ref="C28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83">
        <f>YEAR(AllDataApr[[#This Row],[Date]])</f>
        <v>2023</v>
      </c>
      <c r="E283" s="1">
        <v>0.625</v>
      </c>
      <c r="F283" s="2" t="str">
        <f>IF(AND(AllDataApr[[#This Row],[Time]]&lt;0.5, AllDataApr[[#This Row],[Time]]&gt;0.17)=TRUE, "Morning", IF(AND(AllDataApr[[#This Row],[Time]]&lt;0.75, AllDataApr[[#This Row],[Time]]&gt;=0.5)=TRUE, "Afternoon", IF(AND(AllDataApr[[#This Row],[Time]]&lt;1, AllDataApr[[#This Row],[Time]]&gt;=0.75)=TRUE, "Evening", "Night")))</f>
        <v>Afternoon</v>
      </c>
      <c r="G283" t="s">
        <v>20</v>
      </c>
      <c r="H283" t="str">
        <f>_xlfn.XLOOKUP(AllDataApr[[#This Row],[Location Name]], Locations[Row Labels],Locations[Group As])</f>
        <v>Weston-on-Avon</v>
      </c>
      <c r="I283" t="str">
        <f>_xlfn.XLOOKUP(AllDataApr[[#This Row],[Site Name]],LocationsKey[Site Name],LocationsKey[Region])</f>
        <v>Stratford</v>
      </c>
      <c r="J283" t="str">
        <f>_xlfn.XLOOKUP(AllDataApr[[#This Row],[Site Name]],LocationsKey[Site Name], LocationsKey[Waterway])</f>
        <v>Avon</v>
      </c>
      <c r="K283" t="s">
        <v>23</v>
      </c>
      <c r="L283">
        <v>52.167430000000003</v>
      </c>
      <c r="M283">
        <v>-1.7744</v>
      </c>
      <c r="N283" t="s">
        <v>18</v>
      </c>
      <c r="O283">
        <v>780</v>
      </c>
      <c r="P283">
        <v>10.6</v>
      </c>
      <c r="Q283">
        <v>7</v>
      </c>
      <c r="R283" s="7" t="str">
        <f>IF(AllDataApr[[#This Row],[Nitrate (PPM)]]&gt;2, "Very high", IF(AllDataApr[[#This Row],[Nitrate (PPM)]]&gt;1, "High", IF(AllDataApr[[#This Row],[Nitrate (PPM)]]&gt;0.5, "Some evidence", IF(AllDataApr[[#This Row],[Nitrate (PPM)]]&gt;0, "No evidence", IF(AllDataApr[[#This Row],[Nitrate (PPM)]]=0, "")))))</f>
        <v>Very high</v>
      </c>
      <c r="S283">
        <v>0.46</v>
      </c>
      <c r="T283" s="7" t="str">
        <f>IF(AllDataApr[[#This Row],[Phosphate (PPM)]]&gt;0.5, "Very high", IF(AllDataApr[[#This Row],[Phosphate (PPM)]]&gt;0.1, "High", IF(AllDataApr[[#This Row],[Phosphate (PPM)]]&gt;0.05, "Some evidence", IF(AllDataApr[[#This Row],[Phosphate (PPM)]]=0, ""))))</f>
        <v>High</v>
      </c>
      <c r="U283">
        <v>0</v>
      </c>
    </row>
    <row r="284" spans="1:22" x14ac:dyDescent="0.3">
      <c r="A284" t="s">
        <v>606</v>
      </c>
      <c r="B284" s="2">
        <v>45287</v>
      </c>
      <c r="C284" s="2" t="str" cm="1">
        <f t="array" ref="C28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84">
        <f>YEAR(AllDataApr[[#This Row],[Date]])</f>
        <v>2023</v>
      </c>
      <c r="E284" s="1">
        <v>0.52083333333333337</v>
      </c>
      <c r="F284" s="2" t="str">
        <f>IF(AND(AllDataApr[[#This Row],[Time]]&lt;0.5, AllDataApr[[#This Row],[Time]]&gt;0.17)=TRUE, "Morning", IF(AND(AllDataApr[[#This Row],[Time]]&lt;0.75, AllDataApr[[#This Row],[Time]]&gt;=0.5)=TRUE, "Afternoon", IF(AND(AllDataApr[[#This Row],[Time]]&lt;1, AllDataApr[[#This Row],[Time]]&gt;=0.75)=TRUE, "Evening", "Night")))</f>
        <v>Afternoon</v>
      </c>
      <c r="G284" t="s">
        <v>100</v>
      </c>
      <c r="H284" t="str">
        <f>_xlfn.XLOOKUP(AllDataApr[[#This Row],[Location Name]], Locations[Row Labels],Locations[Group As])</f>
        <v>Barton</v>
      </c>
      <c r="I284" t="str">
        <f>_xlfn.XLOOKUP(AllDataApr[[#This Row],[Site Name]],LocationsKey[Site Name],LocationsKey[Region])</f>
        <v>Stratford</v>
      </c>
      <c r="J284" t="str">
        <f>_xlfn.XLOOKUP(AllDataApr[[#This Row],[Site Name]],LocationsKey[Site Name], LocationsKey[Waterway])</f>
        <v>Avon</v>
      </c>
      <c r="K284" t="s">
        <v>29</v>
      </c>
      <c r="L284">
        <v>52.161209999999997</v>
      </c>
      <c r="M284">
        <v>-1.8301499999999999</v>
      </c>
      <c r="N284" t="s">
        <v>18</v>
      </c>
      <c r="O284">
        <v>732</v>
      </c>
      <c r="P284">
        <v>7.9</v>
      </c>
      <c r="Q284">
        <v>25</v>
      </c>
      <c r="R284" s="7" t="str">
        <f>IF(AllDataApr[[#This Row],[Nitrate (PPM)]]&gt;2, "Very high", IF(AllDataApr[[#This Row],[Nitrate (PPM)]]&gt;1, "High", IF(AllDataApr[[#This Row],[Nitrate (PPM)]]&gt;0.5, "Some evidence", IF(AllDataApr[[#This Row],[Nitrate (PPM)]]&gt;0, "No evidence", IF(AllDataApr[[#This Row],[Nitrate (PPM)]]=0, "")))))</f>
        <v>Very high</v>
      </c>
      <c r="S284">
        <v>0.42</v>
      </c>
      <c r="T284" s="7" t="str">
        <f>IF(AllDataApr[[#This Row],[Phosphate (PPM)]]&gt;0.5, "Very high", IF(AllDataApr[[#This Row],[Phosphate (PPM)]]&gt;0.1, "High", IF(AllDataApr[[#This Row],[Phosphate (PPM)]]&gt;0.05, "Some evidence", IF(AllDataApr[[#This Row],[Phosphate (PPM)]]=0, ""))))</f>
        <v>High</v>
      </c>
      <c r="U284">
        <v>0</v>
      </c>
    </row>
    <row r="285" spans="1:22" x14ac:dyDescent="0.3">
      <c r="A285" t="s">
        <v>638</v>
      </c>
      <c r="B285" s="2">
        <v>45288</v>
      </c>
      <c r="C285" s="2" t="str" cm="1">
        <f t="array" ref="C28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85">
        <f>YEAR(AllDataApr[[#This Row],[Date]])</f>
        <v>2023</v>
      </c>
      <c r="E285" s="1">
        <v>0.48402777777777778</v>
      </c>
      <c r="F285" s="2" t="str">
        <f>IF(AND(AllDataApr[[#This Row],[Time]]&lt;0.5, AllDataApr[[#This Row],[Time]]&gt;0.17)=TRUE, "Morning", IF(AND(AllDataApr[[#This Row],[Time]]&lt;0.75, AllDataApr[[#This Row],[Time]]&gt;=0.5)=TRUE, "Afternoon", IF(AND(AllDataApr[[#This Row],[Time]]&lt;1, AllDataApr[[#This Row],[Time]]&gt;=0.75)=TRUE, "Evening", "Night")))</f>
        <v>Morning</v>
      </c>
      <c r="G285" t="s">
        <v>139</v>
      </c>
      <c r="H285" t="str">
        <f>_xlfn.XLOOKUP(AllDataApr[[#This Row],[Location Name]], Locations[Row Labels],Locations[Group As])</f>
        <v>Alveston Weir</v>
      </c>
      <c r="I285" t="str">
        <f>_xlfn.XLOOKUP(AllDataApr[[#This Row],[Site Name]],LocationsKey[Site Name],LocationsKey[Region])</f>
        <v>Stratford</v>
      </c>
      <c r="J285" t="str">
        <f>_xlfn.XLOOKUP(AllDataApr[[#This Row],[Site Name]],LocationsKey[Site Name], LocationsKey[Waterway])</f>
        <v>Avon</v>
      </c>
      <c r="K285" t="s">
        <v>128</v>
      </c>
      <c r="L285">
        <v>52.214308000000003</v>
      </c>
      <c r="M285">
        <v>-1.660922</v>
      </c>
      <c r="N285" t="s">
        <v>18</v>
      </c>
      <c r="O285">
        <v>495</v>
      </c>
      <c r="P285">
        <v>10.1</v>
      </c>
      <c r="Q285">
        <v>2</v>
      </c>
      <c r="R285" s="7" t="str">
        <f>IF(AllDataApr[[#This Row],[Nitrate (PPM)]]&gt;2, "Very high", IF(AllDataApr[[#This Row],[Nitrate (PPM)]]&gt;1, "High", IF(AllDataApr[[#This Row],[Nitrate (PPM)]]&gt;0.5, "Some evidence", IF(AllDataApr[[#This Row],[Nitrate (PPM)]]&gt;0, "No evidence", IF(AllDataApr[[#This Row],[Nitrate (PPM)]]=0, "")))))</f>
        <v>High</v>
      </c>
      <c r="S285">
        <v>0.63</v>
      </c>
      <c r="T285" s="7" t="str">
        <f>IF(AllDataApr[[#This Row],[Phosphate (PPM)]]&gt;0.5, "Very high", IF(AllDataApr[[#This Row],[Phosphate (PPM)]]&gt;0.1, "High", IF(AllDataApr[[#This Row],[Phosphate (PPM)]]&gt;0.05, "Some evidence", IF(AllDataApr[[#This Row],[Phosphate (PPM)]]=0, ""))))</f>
        <v>Very high</v>
      </c>
      <c r="U285">
        <v>1</v>
      </c>
      <c r="V285" t="s">
        <v>203</v>
      </c>
    </row>
    <row r="286" spans="1:22" x14ac:dyDescent="0.3">
      <c r="A286" t="s">
        <v>636</v>
      </c>
      <c r="B286" s="2">
        <v>45288</v>
      </c>
      <c r="C286" s="2" t="str" cm="1">
        <f t="array" ref="C28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86">
        <f>YEAR(AllDataApr[[#This Row],[Date]])</f>
        <v>2023</v>
      </c>
      <c r="E286" s="1">
        <v>0.5</v>
      </c>
      <c r="F286" s="2" t="str">
        <f>IF(AND(AllDataApr[[#This Row],[Time]]&lt;0.5, AllDataApr[[#This Row],[Time]]&gt;0.17)=TRUE, "Morning", IF(AND(AllDataApr[[#This Row],[Time]]&lt;0.75, AllDataApr[[#This Row],[Time]]&gt;=0.5)=TRUE, "Afternoon", IF(AND(AllDataApr[[#This Row],[Time]]&lt;1, AllDataApr[[#This Row],[Time]]&gt;=0.75)=TRUE, "Evening", "Night")))</f>
        <v>Afternoon</v>
      </c>
      <c r="G286" t="s">
        <v>46</v>
      </c>
      <c r="H286" t="str">
        <f>_xlfn.XLOOKUP(AllDataApr[[#This Row],[Location Name]], Locations[Row Labels],Locations[Group As])</f>
        <v>Swilgate</v>
      </c>
      <c r="I286" t="str">
        <f>_xlfn.XLOOKUP(AllDataApr[[#This Row],[Site Name]],LocationsKey[Site Name],LocationsKey[Region])</f>
        <v>Tewkesbury</v>
      </c>
      <c r="J286" t="str">
        <f>_xlfn.XLOOKUP(AllDataApr[[#This Row],[Site Name]],LocationsKey[Site Name], LocationsKey[Waterway])</f>
        <v>Swilgate</v>
      </c>
      <c r="K286" t="s">
        <v>196</v>
      </c>
      <c r="N286" t="s">
        <v>200</v>
      </c>
      <c r="O286">
        <v>797</v>
      </c>
      <c r="P286">
        <v>10.7</v>
      </c>
      <c r="Q286">
        <v>4</v>
      </c>
      <c r="R286" s="7" t="str">
        <f>IF(AllDataApr[[#This Row],[Nitrate (PPM)]]&gt;2, "Very high", IF(AllDataApr[[#This Row],[Nitrate (PPM)]]&gt;1, "High", IF(AllDataApr[[#This Row],[Nitrate (PPM)]]&gt;0.5, "Some evidence", IF(AllDataApr[[#This Row],[Nitrate (PPM)]]&gt;0, "No evidence", IF(AllDataApr[[#This Row],[Nitrate (PPM)]]=0, "")))))</f>
        <v>Very high</v>
      </c>
      <c r="S286">
        <v>0.55000000000000004</v>
      </c>
      <c r="T286" s="7" t="str">
        <f>IF(AllDataApr[[#This Row],[Phosphate (PPM)]]&gt;0.5, "Very high", IF(AllDataApr[[#This Row],[Phosphate (PPM)]]&gt;0.1, "High", IF(AllDataApr[[#This Row],[Phosphate (PPM)]]&gt;0.05, "Some evidence", IF(AllDataApr[[#This Row],[Phosphate (PPM)]]=0, ""))))</f>
        <v>Very high</v>
      </c>
      <c r="U286">
        <v>2</v>
      </c>
      <c r="V286" t="s">
        <v>201</v>
      </c>
    </row>
    <row r="287" spans="1:22" x14ac:dyDescent="0.3">
      <c r="A287" t="s">
        <v>637</v>
      </c>
      <c r="B287" s="2">
        <v>45288</v>
      </c>
      <c r="C287" s="2" t="str" cm="1">
        <f t="array" ref="C28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87">
        <f>YEAR(AllDataApr[[#This Row],[Date]])</f>
        <v>2023</v>
      </c>
      <c r="E287" s="1">
        <v>0.5</v>
      </c>
      <c r="F287" s="2" t="str">
        <f>IF(AND(AllDataApr[[#This Row],[Time]]&lt;0.5, AllDataApr[[#This Row],[Time]]&gt;0.17)=TRUE, "Morning", IF(AND(AllDataApr[[#This Row],[Time]]&lt;0.75, AllDataApr[[#This Row],[Time]]&gt;=0.5)=TRUE, "Afternoon", IF(AND(AllDataApr[[#This Row],[Time]]&lt;1, AllDataApr[[#This Row],[Time]]&gt;=0.75)=TRUE, "Evening", "Night")))</f>
        <v>Afternoon</v>
      </c>
      <c r="G287" t="s">
        <v>139</v>
      </c>
      <c r="H287" t="str">
        <f>_xlfn.XLOOKUP(AllDataApr[[#This Row],[Location Name]], Locations[Row Labels],Locations[Group As])</f>
        <v>Swiffen Bank</v>
      </c>
      <c r="I287" t="str">
        <f>_xlfn.XLOOKUP(AllDataApr[[#This Row],[Site Name]],LocationsKey[Site Name],LocationsKey[Region])</f>
        <v>Stratford</v>
      </c>
      <c r="J287" t="str">
        <f>_xlfn.XLOOKUP(AllDataApr[[#This Row],[Site Name]],LocationsKey[Site Name], LocationsKey[Waterway])</f>
        <v>Avon</v>
      </c>
      <c r="K287" t="s">
        <v>130</v>
      </c>
      <c r="L287">
        <v>52.205849000000001</v>
      </c>
      <c r="M287">
        <v>-1.6554519999999999</v>
      </c>
      <c r="N287" t="s">
        <v>18</v>
      </c>
      <c r="O287">
        <v>513</v>
      </c>
      <c r="P287">
        <v>11.1</v>
      </c>
      <c r="Q287">
        <v>2</v>
      </c>
      <c r="R287" s="7" t="str">
        <f>IF(AllDataApr[[#This Row],[Nitrate (PPM)]]&gt;2, "Very high", IF(AllDataApr[[#This Row],[Nitrate (PPM)]]&gt;1, "High", IF(AllDataApr[[#This Row],[Nitrate (PPM)]]&gt;0.5, "Some evidence", IF(AllDataApr[[#This Row],[Nitrate (PPM)]]&gt;0, "No evidence", IF(AllDataApr[[#This Row],[Nitrate (PPM)]]=0, "")))))</f>
        <v>High</v>
      </c>
      <c r="S287">
        <v>0.82</v>
      </c>
      <c r="T287" s="7" t="str">
        <f>IF(AllDataApr[[#This Row],[Phosphate (PPM)]]&gt;0.5, "Very high", IF(AllDataApr[[#This Row],[Phosphate (PPM)]]&gt;0.1, "High", IF(AllDataApr[[#This Row],[Phosphate (PPM)]]&gt;0.05, "Some evidence", IF(AllDataApr[[#This Row],[Phosphate (PPM)]]=0, ""))))</f>
        <v>Very high</v>
      </c>
      <c r="U287">
        <v>2</v>
      </c>
      <c r="V287" t="s">
        <v>202</v>
      </c>
    </row>
    <row r="288" spans="1:22" x14ac:dyDescent="0.3">
      <c r="A288" t="s">
        <v>634</v>
      </c>
      <c r="B288" s="2">
        <v>45290</v>
      </c>
      <c r="C288" s="2" t="str" cm="1">
        <f t="array" ref="C28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88">
        <f>YEAR(AllDataApr[[#This Row],[Date]])</f>
        <v>2023</v>
      </c>
      <c r="E288" s="1">
        <v>0.5</v>
      </c>
      <c r="F288" s="2" t="str">
        <f>IF(AND(AllDataApr[[#This Row],[Time]]&lt;0.5, AllDataApr[[#This Row],[Time]]&gt;0.17)=TRUE, "Morning", IF(AND(AllDataApr[[#This Row],[Time]]&lt;0.75, AllDataApr[[#This Row],[Time]]&gt;=0.5)=TRUE, "Afternoon", IF(AND(AllDataApr[[#This Row],[Time]]&lt;1, AllDataApr[[#This Row],[Time]]&gt;=0.75)=TRUE, "Evening", "Night")))</f>
        <v>Afternoon</v>
      </c>
      <c r="G288" t="s">
        <v>52</v>
      </c>
      <c r="H288" t="str">
        <f>_xlfn.XLOOKUP(AllDataApr[[#This Row],[Location Name]], Locations[Row Labels],Locations[Group As])</f>
        <v>Carrant Bredon Rd</v>
      </c>
      <c r="I288" t="str">
        <f>_xlfn.XLOOKUP(AllDataApr[[#This Row],[Site Name]],LocationsKey[Site Name],LocationsKey[Region])</f>
        <v>Tewkesbury</v>
      </c>
      <c r="J288" t="str">
        <f>_xlfn.XLOOKUP(AllDataApr[[#This Row],[Site Name]],LocationsKey[Site Name], LocationsKey[Waterway])</f>
        <v>Carrant</v>
      </c>
      <c r="K288" t="s">
        <v>53</v>
      </c>
      <c r="L288">
        <v>51.998399999999997</v>
      </c>
      <c r="M288">
        <v>-2.1528</v>
      </c>
      <c r="N288" t="s">
        <v>200</v>
      </c>
      <c r="O288">
        <v>497</v>
      </c>
      <c r="P288">
        <v>9.4</v>
      </c>
      <c r="Q288">
        <v>5</v>
      </c>
      <c r="R288" s="7" t="str">
        <f>IF(AllDataApr[[#This Row],[Nitrate (PPM)]]&gt;2, "Very high", IF(AllDataApr[[#This Row],[Nitrate (PPM)]]&gt;1, "High", IF(AllDataApr[[#This Row],[Nitrate (PPM)]]&gt;0.5, "Some evidence", IF(AllDataApr[[#This Row],[Nitrate (PPM)]]&gt;0, "No evidence", IF(AllDataApr[[#This Row],[Nitrate (PPM)]]=0, "")))))</f>
        <v>Very high</v>
      </c>
      <c r="S288">
        <v>0.79</v>
      </c>
      <c r="T288" s="7" t="str">
        <f>IF(AllDataApr[[#This Row],[Phosphate (PPM)]]&gt;0.5, "Very high", IF(AllDataApr[[#This Row],[Phosphate (PPM)]]&gt;0.1, "High", IF(AllDataApr[[#This Row],[Phosphate (PPM)]]&gt;0.05, "Some evidence", IF(AllDataApr[[#This Row],[Phosphate (PPM)]]=0, ""))))</f>
        <v>Very high</v>
      </c>
      <c r="U288">
        <v>2</v>
      </c>
      <c r="V288" t="s">
        <v>122</v>
      </c>
    </row>
    <row r="289" spans="1:22" x14ac:dyDescent="0.3">
      <c r="A289" t="s">
        <v>635</v>
      </c>
      <c r="B289" s="2">
        <v>45290</v>
      </c>
      <c r="C289" s="2" t="str" cm="1">
        <f t="array" ref="C28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89">
        <f>YEAR(AllDataApr[[#This Row],[Date]])</f>
        <v>2023</v>
      </c>
      <c r="E289" s="1">
        <v>0.60416666666666663</v>
      </c>
      <c r="F289" s="2" t="str">
        <f>IF(AND(AllDataApr[[#This Row],[Time]]&lt;0.5, AllDataApr[[#This Row],[Time]]&gt;0.17)=TRUE, "Morning", IF(AND(AllDataApr[[#This Row],[Time]]&lt;0.75, AllDataApr[[#This Row],[Time]]&gt;=0.5)=TRUE, "Afternoon", IF(AND(AllDataApr[[#This Row],[Time]]&lt;1, AllDataApr[[#This Row],[Time]]&gt;=0.75)=TRUE, "Evening", "Night")))</f>
        <v>Afternoon</v>
      </c>
      <c r="G289" t="s">
        <v>11</v>
      </c>
      <c r="H289" t="str">
        <f>_xlfn.XLOOKUP(AllDataApr[[#This Row],[Location Name]], Locations[Row Labels],Locations[Group As])</f>
        <v>Abbey Mill</v>
      </c>
      <c r="I289" t="str">
        <f>_xlfn.XLOOKUP(AllDataApr[[#This Row],[Site Name]],LocationsKey[Site Name],LocationsKey[Region])</f>
        <v>Tewkesbury</v>
      </c>
      <c r="J289" t="str">
        <f>_xlfn.XLOOKUP(AllDataApr[[#This Row],[Site Name]],LocationsKey[Site Name], LocationsKey[Waterway])</f>
        <v>Avon</v>
      </c>
      <c r="K289" t="s">
        <v>12</v>
      </c>
      <c r="N289" t="s">
        <v>200</v>
      </c>
      <c r="O289">
        <v>474</v>
      </c>
      <c r="P289">
        <v>11.1</v>
      </c>
      <c r="Q289">
        <v>4</v>
      </c>
      <c r="R289" s="7" t="str">
        <f>IF(AllDataApr[[#This Row],[Nitrate (PPM)]]&gt;2, "Very high", IF(AllDataApr[[#This Row],[Nitrate (PPM)]]&gt;1, "High", IF(AllDataApr[[#This Row],[Nitrate (PPM)]]&gt;0.5, "Some evidence", IF(AllDataApr[[#This Row],[Nitrate (PPM)]]&gt;0, "No evidence", IF(AllDataApr[[#This Row],[Nitrate (PPM)]]=0, "")))))</f>
        <v>Very high</v>
      </c>
      <c r="S289">
        <v>0.86</v>
      </c>
      <c r="T289" s="7" t="str">
        <f>IF(AllDataApr[[#This Row],[Phosphate (PPM)]]&gt;0.5, "Very high", IF(AllDataApr[[#This Row],[Phosphate (PPM)]]&gt;0.1, "High", IF(AllDataApr[[#This Row],[Phosphate (PPM)]]&gt;0.05, "Some evidence", IF(AllDataApr[[#This Row],[Phosphate (PPM)]]=0, ""))))</f>
        <v>Very high</v>
      </c>
      <c r="U289">
        <v>2.6</v>
      </c>
      <c r="V289" t="s">
        <v>204</v>
      </c>
    </row>
    <row r="290" spans="1:22" x14ac:dyDescent="0.3">
      <c r="A290" t="s">
        <v>610</v>
      </c>
      <c r="B290" s="2">
        <v>45291</v>
      </c>
      <c r="C290" s="2" t="str" cm="1">
        <f t="array" ref="C29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90">
        <f>YEAR(AllDataApr[[#This Row],[Date]])</f>
        <v>2023</v>
      </c>
      <c r="E290" s="1">
        <v>0.54166666666666663</v>
      </c>
      <c r="F290" s="2" t="str">
        <f>IF(AND(AllDataApr[[#This Row],[Time]]&lt;0.5, AllDataApr[[#This Row],[Time]]&gt;0.17)=TRUE, "Morning", IF(AND(AllDataApr[[#This Row],[Time]]&lt;0.75, AllDataApr[[#This Row],[Time]]&gt;=0.5)=TRUE, "Afternoon", IF(AND(AllDataApr[[#This Row],[Time]]&lt;1, AllDataApr[[#This Row],[Time]]&gt;=0.75)=TRUE, "Evening", "Night")))</f>
        <v>Afternoon</v>
      </c>
      <c r="G290" t="s">
        <v>95</v>
      </c>
      <c r="H290" t="str">
        <f>_xlfn.XLOOKUP(AllDataApr[[#This Row],[Location Name]], Locations[Row Labels],Locations[Group As])</f>
        <v>Hampton Lucy</v>
      </c>
      <c r="I290" t="str">
        <f>_xlfn.XLOOKUP(AllDataApr[[#This Row],[Site Name]],LocationsKey[Site Name],LocationsKey[Region])</f>
        <v>Stratford</v>
      </c>
      <c r="J290" t="str">
        <f>_xlfn.XLOOKUP(AllDataApr[[#This Row],[Site Name]],LocationsKey[Site Name], LocationsKey[Waterway])</f>
        <v>Avon</v>
      </c>
      <c r="K290" t="s">
        <v>27</v>
      </c>
      <c r="L290">
        <v>52.211680000000001</v>
      </c>
      <c r="M290">
        <v>-1.6244400000000001</v>
      </c>
      <c r="N290" t="s">
        <v>200</v>
      </c>
      <c r="O290">
        <v>486</v>
      </c>
      <c r="P290">
        <v>9</v>
      </c>
      <c r="Q290">
        <v>15</v>
      </c>
      <c r="R290" s="7" t="str">
        <f>IF(AllDataApr[[#This Row],[Nitrate (PPM)]]&gt;2, "Very high", IF(AllDataApr[[#This Row],[Nitrate (PPM)]]&gt;1, "High", IF(AllDataApr[[#This Row],[Nitrate (PPM)]]&gt;0.5, "Some evidence", IF(AllDataApr[[#This Row],[Nitrate (PPM)]]&gt;0, "No evidence", IF(AllDataApr[[#This Row],[Nitrate (PPM)]]=0, "")))))</f>
        <v>Very high</v>
      </c>
      <c r="S290">
        <v>0.51</v>
      </c>
      <c r="T290" s="7" t="str">
        <f>IF(AllDataApr[[#This Row],[Phosphate (PPM)]]&gt;0.5, "Very high", IF(AllDataApr[[#This Row],[Phosphate (PPM)]]&gt;0.1, "High", IF(AllDataApr[[#This Row],[Phosphate (PPM)]]&gt;0.05, "Some evidence", IF(AllDataApr[[#This Row],[Phosphate (PPM)]]=0, ""))))</f>
        <v>Very high</v>
      </c>
      <c r="U290">
        <v>0</v>
      </c>
    </row>
    <row r="291" spans="1:22" x14ac:dyDescent="0.3">
      <c r="A291" t="s">
        <v>633</v>
      </c>
      <c r="B291" s="2">
        <v>45295</v>
      </c>
      <c r="C291" s="2" t="str" cm="1">
        <f t="array" ref="C29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91">
        <f>YEAR(AllDataApr[[#This Row],[Date]])</f>
        <v>2024</v>
      </c>
      <c r="E291" s="1">
        <v>0.58611111111111114</v>
      </c>
      <c r="F291" s="2" t="str">
        <f>IF(AND(AllDataApr[[#This Row],[Time]]&lt;0.5, AllDataApr[[#This Row],[Time]]&gt;0.17)=TRUE, "Morning", IF(AND(AllDataApr[[#This Row],[Time]]&lt;0.75, AllDataApr[[#This Row],[Time]]&gt;=0.5)=TRUE, "Afternoon", IF(AND(AllDataApr[[#This Row],[Time]]&lt;1, AllDataApr[[#This Row],[Time]]&gt;=0.75)=TRUE, "Evening", "Night")))</f>
        <v>Afternoon</v>
      </c>
      <c r="G291" t="s">
        <v>59</v>
      </c>
      <c r="H291" t="str">
        <f>_xlfn.XLOOKUP(AllDataApr[[#This Row],[Location Name]], Locations[Row Labels],Locations[Group As])</f>
        <v>Preston-on-Stour River Bridge</v>
      </c>
      <c r="I291" t="str">
        <f>_xlfn.XLOOKUP(AllDataApr[[#This Row],[Site Name]],LocationsKey[Site Name],LocationsKey[Region])</f>
        <v>Stratford</v>
      </c>
      <c r="J291" t="str">
        <f>_xlfn.XLOOKUP(AllDataApr[[#This Row],[Site Name]],LocationsKey[Site Name], LocationsKey[Waterway])</f>
        <v>Stour</v>
      </c>
      <c r="K291" t="s">
        <v>78</v>
      </c>
      <c r="L291">
        <v>52.146580999999998</v>
      </c>
      <c r="M291">
        <v>-1.6992510000000001</v>
      </c>
      <c r="N291" t="s">
        <v>18</v>
      </c>
      <c r="O291">
        <v>578</v>
      </c>
      <c r="P291">
        <v>8.3000000000000007</v>
      </c>
      <c r="Q291">
        <v>5</v>
      </c>
      <c r="R291" s="7" t="str">
        <f>IF(AllDataApr[[#This Row],[Nitrate (PPM)]]&gt;2, "Very high", IF(AllDataApr[[#This Row],[Nitrate (PPM)]]&gt;1, "High", IF(AllDataApr[[#This Row],[Nitrate (PPM)]]&gt;0.5, "Some evidence", IF(AllDataApr[[#This Row],[Nitrate (PPM)]]&gt;0, "No evidence", IF(AllDataApr[[#This Row],[Nitrate (PPM)]]=0, "")))))</f>
        <v>Very high</v>
      </c>
      <c r="S291">
        <v>0.25</v>
      </c>
      <c r="T291" s="7" t="str">
        <f>IF(AllDataApr[[#This Row],[Phosphate (PPM)]]&gt;0.5, "Very high", IF(AllDataApr[[#This Row],[Phosphate (PPM)]]&gt;0.1, "High", IF(AllDataApr[[#This Row],[Phosphate (PPM)]]&gt;0.05, "Some evidence", IF(AllDataApr[[#This Row],[Phosphate (PPM)]]=0, ""))))</f>
        <v>High</v>
      </c>
      <c r="U291">
        <v>2.5</v>
      </c>
      <c r="V291" t="s">
        <v>207</v>
      </c>
    </row>
    <row r="292" spans="1:22" x14ac:dyDescent="0.3">
      <c r="A292" t="s">
        <v>632</v>
      </c>
      <c r="B292" s="2">
        <v>45295</v>
      </c>
      <c r="C292" s="2" t="str" cm="1">
        <f t="array" ref="C29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92">
        <f>YEAR(AllDataApr[[#This Row],[Date]])</f>
        <v>2024</v>
      </c>
      <c r="E292" s="1">
        <v>0.63888888888888884</v>
      </c>
      <c r="F292" s="2" t="str">
        <f>IF(AND(AllDataApr[[#This Row],[Time]]&lt;0.5, AllDataApr[[#This Row],[Time]]&gt;0.17)=TRUE, "Morning", IF(AND(AllDataApr[[#This Row],[Time]]&lt;0.75, AllDataApr[[#This Row],[Time]]&gt;=0.5)=TRUE, "Afternoon", IF(AND(AllDataApr[[#This Row],[Time]]&lt;1, AllDataApr[[#This Row],[Time]]&gt;=0.75)=TRUE, "Evening", "Night")))</f>
        <v>Afternoon</v>
      </c>
      <c r="G292" t="s">
        <v>139</v>
      </c>
      <c r="H292" t="str">
        <f>_xlfn.XLOOKUP(AllDataApr[[#This Row],[Location Name]], Locations[Row Labels],Locations[Group As])</f>
        <v>Swiffen Bank</v>
      </c>
      <c r="I292" t="str">
        <f>_xlfn.XLOOKUP(AllDataApr[[#This Row],[Site Name]],LocationsKey[Site Name],LocationsKey[Region])</f>
        <v>Stratford</v>
      </c>
      <c r="J292" t="str">
        <f>_xlfn.XLOOKUP(AllDataApr[[#This Row],[Site Name]],LocationsKey[Site Name], LocationsKey[Waterway])</f>
        <v>Avon</v>
      </c>
      <c r="K292" t="s">
        <v>130</v>
      </c>
      <c r="L292">
        <v>52.206406000000001</v>
      </c>
      <c r="M292">
        <v>-1.654576</v>
      </c>
      <c r="N292" t="s">
        <v>18</v>
      </c>
      <c r="O292">
        <v>370</v>
      </c>
      <c r="P292">
        <v>9.6</v>
      </c>
      <c r="Q292">
        <v>2</v>
      </c>
      <c r="R292" s="7" t="str">
        <f>IF(AllDataApr[[#This Row],[Nitrate (PPM)]]&gt;2, "Very high", IF(AllDataApr[[#This Row],[Nitrate (PPM)]]&gt;1, "High", IF(AllDataApr[[#This Row],[Nitrate (PPM)]]&gt;0.5, "Some evidence", IF(AllDataApr[[#This Row],[Nitrate (PPM)]]&gt;0, "No evidence", IF(AllDataApr[[#This Row],[Nitrate (PPM)]]=0, "")))))</f>
        <v>High</v>
      </c>
      <c r="S292">
        <v>0.62</v>
      </c>
      <c r="T292" s="7" t="str">
        <f>IF(AllDataApr[[#This Row],[Phosphate (PPM)]]&gt;0.5, "Very high", IF(AllDataApr[[#This Row],[Phosphate (PPM)]]&gt;0.1, "High", IF(AllDataApr[[#This Row],[Phosphate (PPM)]]&gt;0.05, "Some evidence", IF(AllDataApr[[#This Row],[Phosphate (PPM)]]=0, ""))))</f>
        <v>Very high</v>
      </c>
      <c r="U292">
        <v>4</v>
      </c>
      <c r="V292" t="s">
        <v>206</v>
      </c>
    </row>
    <row r="293" spans="1:22" x14ac:dyDescent="0.3">
      <c r="A293" t="s">
        <v>631</v>
      </c>
      <c r="B293" s="2">
        <v>45295</v>
      </c>
      <c r="C293" s="2" t="str" cm="1">
        <f t="array" ref="C29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93">
        <f>YEAR(AllDataApr[[#This Row],[Date]])</f>
        <v>2024</v>
      </c>
      <c r="E293" s="1">
        <v>0.67083333333333328</v>
      </c>
      <c r="F293" s="2" t="str">
        <f>IF(AND(AllDataApr[[#This Row],[Time]]&lt;0.5, AllDataApr[[#This Row],[Time]]&gt;0.17)=TRUE, "Morning", IF(AND(AllDataApr[[#This Row],[Time]]&lt;0.75, AllDataApr[[#This Row],[Time]]&gt;=0.5)=TRUE, "Afternoon", IF(AND(AllDataApr[[#This Row],[Time]]&lt;1, AllDataApr[[#This Row],[Time]]&gt;=0.75)=TRUE, "Evening", "Night")))</f>
        <v>Afternoon</v>
      </c>
      <c r="G293" t="s">
        <v>139</v>
      </c>
      <c r="H293" t="str">
        <f>_xlfn.XLOOKUP(AllDataApr[[#This Row],[Location Name]], Locations[Row Labels],Locations[Group As])</f>
        <v>Alveston Weir</v>
      </c>
      <c r="I293" t="str">
        <f>_xlfn.XLOOKUP(AllDataApr[[#This Row],[Site Name]],LocationsKey[Site Name],LocationsKey[Region])</f>
        <v>Stratford</v>
      </c>
      <c r="J293" t="str">
        <f>_xlfn.XLOOKUP(AllDataApr[[#This Row],[Site Name]],LocationsKey[Site Name], LocationsKey[Waterway])</f>
        <v>Avon</v>
      </c>
      <c r="K293" t="s">
        <v>128</v>
      </c>
      <c r="L293">
        <v>52.212288999999998</v>
      </c>
      <c r="M293">
        <v>-1.660452</v>
      </c>
      <c r="N293" t="s">
        <v>18</v>
      </c>
      <c r="O293">
        <v>393</v>
      </c>
      <c r="P293">
        <v>10</v>
      </c>
      <c r="Q293">
        <v>2</v>
      </c>
      <c r="R293" s="7" t="str">
        <f>IF(AllDataApr[[#This Row],[Nitrate (PPM)]]&gt;2, "Very high", IF(AllDataApr[[#This Row],[Nitrate (PPM)]]&gt;1, "High", IF(AllDataApr[[#This Row],[Nitrate (PPM)]]&gt;0.5, "Some evidence", IF(AllDataApr[[#This Row],[Nitrate (PPM)]]&gt;0, "No evidence", IF(AllDataApr[[#This Row],[Nitrate (PPM)]]=0, "")))))</f>
        <v>High</v>
      </c>
      <c r="S293">
        <v>1.92</v>
      </c>
      <c r="T293" s="7" t="str">
        <f>IF(AllDataApr[[#This Row],[Phosphate (PPM)]]&gt;0.5, "Very high", IF(AllDataApr[[#This Row],[Phosphate (PPM)]]&gt;0.1, "High", IF(AllDataApr[[#This Row],[Phosphate (PPM)]]&gt;0.05, "Some evidence", IF(AllDataApr[[#This Row],[Phosphate (PPM)]]=0, ""))))</f>
        <v>Very high</v>
      </c>
      <c r="U293">
        <v>6</v>
      </c>
      <c r="V293" t="s">
        <v>205</v>
      </c>
    </row>
    <row r="294" spans="1:22" x14ac:dyDescent="0.3">
      <c r="A294" t="s">
        <v>630</v>
      </c>
      <c r="B294" s="2">
        <v>45297</v>
      </c>
      <c r="C294" s="2" t="str" cm="1">
        <f t="array" ref="C29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94">
        <f>YEAR(AllDataApr[[#This Row],[Date]])</f>
        <v>2024</v>
      </c>
      <c r="E294" s="1">
        <v>0.59652777777777777</v>
      </c>
      <c r="F294" s="2" t="str">
        <f>IF(AND(AllDataApr[[#This Row],[Time]]&lt;0.5, AllDataApr[[#This Row],[Time]]&gt;0.17)=TRUE, "Morning", IF(AND(AllDataApr[[#This Row],[Time]]&lt;0.75, AllDataApr[[#This Row],[Time]]&gt;=0.5)=TRUE, "Afternoon", IF(AND(AllDataApr[[#This Row],[Time]]&lt;1, AllDataApr[[#This Row],[Time]]&gt;=0.75)=TRUE, "Evening", "Night")))</f>
        <v>Afternoon</v>
      </c>
      <c r="G294" t="s">
        <v>199</v>
      </c>
      <c r="H294" t="str">
        <f>_xlfn.XLOOKUP(AllDataApr[[#This Row],[Location Name]], Locations[Row Labels],Locations[Group As])</f>
        <v>Stour Shipston Mill Bridge</v>
      </c>
      <c r="I294" t="str">
        <f>_xlfn.XLOOKUP(AllDataApr[[#This Row],[Site Name]],LocationsKey[Site Name],LocationsKey[Region])</f>
        <v>Shipston</v>
      </c>
      <c r="J294" t="str">
        <f>_xlfn.XLOOKUP(AllDataApr[[#This Row],[Site Name]],LocationsKey[Site Name], LocationsKey[Waterway])</f>
        <v>Stour</v>
      </c>
      <c r="K294" t="s">
        <v>165</v>
      </c>
      <c r="L294">
        <v>52.062137999999997</v>
      </c>
      <c r="M294">
        <v>-1.621983</v>
      </c>
      <c r="N294" t="s">
        <v>200</v>
      </c>
      <c r="O294">
        <v>548</v>
      </c>
      <c r="P294">
        <v>8.8000000000000007</v>
      </c>
      <c r="Q294">
        <v>5</v>
      </c>
      <c r="R294" s="7" t="str">
        <f>IF(AllDataApr[[#This Row],[Nitrate (PPM)]]&gt;2, "Very high", IF(AllDataApr[[#This Row],[Nitrate (PPM)]]&gt;1, "High", IF(AllDataApr[[#This Row],[Nitrate (PPM)]]&gt;0.5, "Some evidence", IF(AllDataApr[[#This Row],[Nitrate (PPM)]]&gt;0, "No evidence", IF(AllDataApr[[#This Row],[Nitrate (PPM)]]=0, "")))))</f>
        <v>Very high</v>
      </c>
      <c r="S294">
        <v>0.14000000000000001</v>
      </c>
      <c r="T294" s="7" t="str">
        <f>IF(AllDataApr[[#This Row],[Phosphate (PPM)]]&gt;0.5, "Very high", IF(AllDataApr[[#This Row],[Phosphate (PPM)]]&gt;0.1, "High", IF(AllDataApr[[#This Row],[Phosphate (PPM)]]&gt;0.05, "Some evidence", IF(AllDataApr[[#This Row],[Phosphate (PPM)]]=0, ""))))</f>
        <v>High</v>
      </c>
      <c r="U294">
        <v>1.5</v>
      </c>
    </row>
    <row r="295" spans="1:22" x14ac:dyDescent="0.3">
      <c r="A295" t="s">
        <v>595</v>
      </c>
      <c r="B295" s="2">
        <v>45297</v>
      </c>
      <c r="C295" s="2" t="str" cm="1">
        <f t="array" ref="C29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95">
        <f>YEAR(AllDataApr[[#This Row],[Date]])</f>
        <v>2024</v>
      </c>
      <c r="E295" s="1">
        <v>0.63194444444444442</v>
      </c>
      <c r="F295" s="2" t="str">
        <f>IF(AND(AllDataApr[[#This Row],[Time]]&lt;0.5, AllDataApr[[#This Row],[Time]]&gt;0.17)=TRUE, "Morning", IF(AND(AllDataApr[[#This Row],[Time]]&lt;0.75, AllDataApr[[#This Row],[Time]]&gt;=0.5)=TRUE, "Afternoon", IF(AND(AllDataApr[[#This Row],[Time]]&lt;1, AllDataApr[[#This Row],[Time]]&gt;=0.75)=TRUE, "Evening", "Night")))</f>
        <v>Afternoon</v>
      </c>
      <c r="G295" t="s">
        <v>218</v>
      </c>
      <c r="H295" t="str">
        <f>_xlfn.XLOOKUP(AllDataApr[[#This Row],[Location Name]], Locations[Row Labels],Locations[Group As])</f>
        <v>Fell Mill Footbridge</v>
      </c>
      <c r="I295" t="str">
        <f>_xlfn.XLOOKUP(AllDataApr[[#This Row],[Site Name]],LocationsKey[Site Name],LocationsKey[Region])</f>
        <v>Shipston</v>
      </c>
      <c r="J295" t="str">
        <f>_xlfn.XLOOKUP(AllDataApr[[#This Row],[Site Name]],LocationsKey[Site Name], LocationsKey[Waterway])</f>
        <v>Stour</v>
      </c>
      <c r="K295" t="s">
        <v>227</v>
      </c>
      <c r="L295">
        <v>52.070131000000003</v>
      </c>
      <c r="M295">
        <v>-1.6114869999999999</v>
      </c>
      <c r="N295" t="s">
        <v>200</v>
      </c>
      <c r="O295">
        <v>554</v>
      </c>
      <c r="P295">
        <v>8.5</v>
      </c>
      <c r="Q295">
        <v>10</v>
      </c>
      <c r="R295" s="7" t="str">
        <f>IF(AllDataApr[[#This Row],[Nitrate (PPM)]]&gt;2, "Very high", IF(AllDataApr[[#This Row],[Nitrate (PPM)]]&gt;1, "High", IF(AllDataApr[[#This Row],[Nitrate (PPM)]]&gt;0.5, "Some evidence", IF(AllDataApr[[#This Row],[Nitrate (PPM)]]&gt;0, "No evidence", IF(AllDataApr[[#This Row],[Nitrate (PPM)]]=0, "")))))</f>
        <v>Very high</v>
      </c>
      <c r="S295">
        <v>0.26</v>
      </c>
      <c r="T295" s="7" t="str">
        <f>IF(AllDataApr[[#This Row],[Phosphate (PPM)]]&gt;0.5, "Very high", IF(AllDataApr[[#This Row],[Phosphate (PPM)]]&gt;0.1, "High", IF(AllDataApr[[#This Row],[Phosphate (PPM)]]&gt;0.05, "Some evidence", IF(AllDataApr[[#This Row],[Phosphate (PPM)]]=0, ""))))</f>
        <v>High</v>
      </c>
      <c r="U295">
        <v>1.5</v>
      </c>
    </row>
    <row r="296" spans="1:22" x14ac:dyDescent="0.3">
      <c r="A296" t="s">
        <v>580</v>
      </c>
      <c r="B296" s="2">
        <v>45297</v>
      </c>
      <c r="C296" s="2" t="str" cm="1">
        <f t="array" ref="C29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96">
        <f>YEAR(AllDataApr[[#This Row],[Date]])</f>
        <v>2024</v>
      </c>
      <c r="E296" s="1">
        <v>0.63541666666666663</v>
      </c>
      <c r="F296" s="2" t="str">
        <f>IF(AND(AllDataApr[[#This Row],[Time]]&lt;0.5, AllDataApr[[#This Row],[Time]]&gt;0.17)=TRUE, "Morning", IF(AND(AllDataApr[[#This Row],[Time]]&lt;0.75, AllDataApr[[#This Row],[Time]]&gt;=0.5)=TRUE, "Afternoon", IF(AND(AllDataApr[[#This Row],[Time]]&lt;1, AllDataApr[[#This Row],[Time]]&gt;=0.75)=TRUE, "Evening", "Night")))</f>
        <v>Afternoon</v>
      </c>
      <c r="G296" t="s">
        <v>112</v>
      </c>
      <c r="H296" t="str">
        <f>_xlfn.XLOOKUP(AllDataApr[[#This Row],[Location Name]], Locations[Row Labels],Locations[Group As])</f>
        <v>Clifford Chambers Mill Bridge</v>
      </c>
      <c r="I296" t="str">
        <f>_xlfn.XLOOKUP(AllDataApr[[#This Row],[Site Name]],LocationsKey[Site Name],LocationsKey[Region])</f>
        <v>Stratford</v>
      </c>
      <c r="J296" t="str">
        <f>_xlfn.XLOOKUP(AllDataApr[[#This Row],[Site Name]],LocationsKey[Site Name], LocationsKey[Waterway])</f>
        <v>Stour</v>
      </c>
      <c r="K296" t="s">
        <v>119</v>
      </c>
      <c r="L296">
        <v>52.166370000000001</v>
      </c>
      <c r="M296">
        <v>-1.708032</v>
      </c>
      <c r="N296" t="s">
        <v>1047</v>
      </c>
      <c r="O296">
        <v>550</v>
      </c>
      <c r="P296">
        <v>11.3</v>
      </c>
      <c r="Q296">
        <v>5</v>
      </c>
      <c r="R296" s="7" t="str">
        <f>IF(AllDataApr[[#This Row],[Nitrate (PPM)]]&gt;2, "Very high", IF(AllDataApr[[#This Row],[Nitrate (PPM)]]&gt;1, "High", IF(AllDataApr[[#This Row],[Nitrate (PPM)]]&gt;0.5, "Some evidence", IF(AllDataApr[[#This Row],[Nitrate (PPM)]]&gt;0, "No evidence", IF(AllDataApr[[#This Row],[Nitrate (PPM)]]=0, "")))))</f>
        <v>Very high</v>
      </c>
      <c r="S296">
        <v>0.34</v>
      </c>
      <c r="T296" s="7" t="str">
        <f>IF(AllDataApr[[#This Row],[Phosphate (PPM)]]&gt;0.5, "Very high", IF(AllDataApr[[#This Row],[Phosphate (PPM)]]&gt;0.1, "High", IF(AllDataApr[[#This Row],[Phosphate (PPM)]]&gt;0.05, "Some evidence", IF(AllDataApr[[#This Row],[Phosphate (PPM)]]=0, ""))))</f>
        <v>High</v>
      </c>
      <c r="U296">
        <v>1.4</v>
      </c>
      <c r="V296" t="s">
        <v>240</v>
      </c>
    </row>
    <row r="297" spans="1:22" x14ac:dyDescent="0.3">
      <c r="A297" t="s">
        <v>570</v>
      </c>
      <c r="B297" s="2">
        <v>45297</v>
      </c>
      <c r="C297" s="2" t="str" cm="1">
        <f t="array" ref="C29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97">
        <f>YEAR(AllDataApr[[#This Row],[Date]])</f>
        <v>2024</v>
      </c>
      <c r="E297" s="1">
        <v>0.64236111111111116</v>
      </c>
      <c r="F297" s="2" t="str">
        <f>IF(AND(AllDataApr[[#This Row],[Time]]&lt;0.5, AllDataApr[[#This Row],[Time]]&gt;0.17)=TRUE, "Morning", IF(AND(AllDataApr[[#This Row],[Time]]&lt;0.75, AllDataApr[[#This Row],[Time]]&gt;=0.5)=TRUE, "Afternoon", IF(AND(AllDataApr[[#This Row],[Time]]&lt;1, AllDataApr[[#This Row],[Time]]&gt;=0.75)=TRUE, "Evening", "Night")))</f>
        <v>Afternoon</v>
      </c>
      <c r="G297" t="s">
        <v>112</v>
      </c>
      <c r="H297" t="str">
        <f>_xlfn.XLOOKUP(AllDataApr[[#This Row],[Location Name]], Locations[Row Labels],Locations[Group As])</f>
        <v>Clifford Chambers Road Bridge</v>
      </c>
      <c r="I297" t="str">
        <f>_xlfn.XLOOKUP(AllDataApr[[#This Row],[Site Name]],LocationsKey[Site Name],LocationsKey[Region])</f>
        <v>Stratford</v>
      </c>
      <c r="J297" t="str">
        <f>_xlfn.XLOOKUP(AllDataApr[[#This Row],[Site Name]],LocationsKey[Site Name], LocationsKey[Waterway])</f>
        <v>Stour</v>
      </c>
      <c r="K297" t="s">
        <v>226</v>
      </c>
      <c r="L297">
        <v>52.172840000000001</v>
      </c>
      <c r="M297">
        <v>-1.71377</v>
      </c>
      <c r="N297" t="s">
        <v>1047</v>
      </c>
      <c r="O297">
        <v>557</v>
      </c>
      <c r="P297">
        <v>11.5</v>
      </c>
      <c r="Q297">
        <v>6</v>
      </c>
      <c r="R297" s="7" t="str">
        <f>IF(AllDataApr[[#This Row],[Nitrate (PPM)]]&gt;2, "Very high", IF(AllDataApr[[#This Row],[Nitrate (PPM)]]&gt;1, "High", IF(AllDataApr[[#This Row],[Nitrate (PPM)]]&gt;0.5, "Some evidence", IF(AllDataApr[[#This Row],[Nitrate (PPM)]]&gt;0, "No evidence", IF(AllDataApr[[#This Row],[Nitrate (PPM)]]=0, "")))))</f>
        <v>Very high</v>
      </c>
      <c r="S297">
        <v>0.31</v>
      </c>
      <c r="T297" s="7" t="str">
        <f>IF(AllDataApr[[#This Row],[Phosphate (PPM)]]&gt;0.5, "Very high", IF(AllDataApr[[#This Row],[Phosphate (PPM)]]&gt;0.1, "High", IF(AllDataApr[[#This Row],[Phosphate (PPM)]]&gt;0.05, "Some evidence", IF(AllDataApr[[#This Row],[Phosphate (PPM)]]=0, ""))))</f>
        <v>High</v>
      </c>
      <c r="U297">
        <v>0.6</v>
      </c>
    </row>
    <row r="298" spans="1:22" x14ac:dyDescent="0.3">
      <c r="A298" t="s">
        <v>629</v>
      </c>
      <c r="B298" s="2">
        <v>45298</v>
      </c>
      <c r="C298" s="2" t="str" cm="1">
        <f t="array" ref="C29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98">
        <f>YEAR(AllDataApr[[#This Row],[Date]])</f>
        <v>2024</v>
      </c>
      <c r="E298" s="1">
        <v>0.46319444444444446</v>
      </c>
      <c r="F298" s="2" t="str">
        <f>IF(AND(AllDataApr[[#This Row],[Time]]&lt;0.5, AllDataApr[[#This Row],[Time]]&gt;0.17)=TRUE, "Morning", IF(AND(AllDataApr[[#This Row],[Time]]&lt;0.75, AllDataApr[[#This Row],[Time]]&gt;=0.5)=TRUE, "Afternoon", IF(AND(AllDataApr[[#This Row],[Time]]&lt;1, AllDataApr[[#This Row],[Time]]&gt;=0.75)=TRUE, "Evening", "Night")))</f>
        <v>Morning</v>
      </c>
      <c r="G298" t="s">
        <v>38</v>
      </c>
      <c r="H298" t="str">
        <f>_xlfn.XLOOKUP(AllDataApr[[#This Row],[Location Name]], Locations[Row Labels],Locations[Group As])</f>
        <v>Avonbank Drive</v>
      </c>
      <c r="I298" t="str">
        <f>_xlfn.XLOOKUP(AllDataApr[[#This Row],[Site Name]],LocationsKey[Site Name],LocationsKey[Region])</f>
        <v>Stratford</v>
      </c>
      <c r="J298" t="str">
        <f>_xlfn.XLOOKUP(AllDataApr[[#This Row],[Site Name]],LocationsKey[Site Name], LocationsKey[Waterway])</f>
        <v>Avon</v>
      </c>
      <c r="K298" t="s">
        <v>41</v>
      </c>
      <c r="L298">
        <v>52.177464000000001</v>
      </c>
      <c r="M298">
        <v>-1.7360610000000001</v>
      </c>
      <c r="N298" t="s">
        <v>42</v>
      </c>
      <c r="O298">
        <v>658</v>
      </c>
      <c r="P298">
        <v>8.1</v>
      </c>
      <c r="Q298">
        <v>2</v>
      </c>
      <c r="R298" s="7" t="str">
        <f>IF(AllDataApr[[#This Row],[Nitrate (PPM)]]&gt;2, "Very high", IF(AllDataApr[[#This Row],[Nitrate (PPM)]]&gt;1, "High", IF(AllDataApr[[#This Row],[Nitrate (PPM)]]&gt;0.5, "Some evidence", IF(AllDataApr[[#This Row],[Nitrate (PPM)]]&gt;0, "No evidence", IF(AllDataApr[[#This Row],[Nitrate (PPM)]]=0, "")))))</f>
        <v>High</v>
      </c>
      <c r="S298">
        <v>0.36</v>
      </c>
      <c r="T298" s="7" t="str">
        <f>IF(AllDataApr[[#This Row],[Phosphate (PPM)]]&gt;0.5, "Very high", IF(AllDataApr[[#This Row],[Phosphate (PPM)]]&gt;0.1, "High", IF(AllDataApr[[#This Row],[Phosphate (PPM)]]&gt;0.05, "Some evidence", IF(AllDataApr[[#This Row],[Phosphate (PPM)]]=0, ""))))</f>
        <v>High</v>
      </c>
      <c r="U298">
        <v>1</v>
      </c>
      <c r="V298" t="s">
        <v>210</v>
      </c>
    </row>
    <row r="299" spans="1:22" x14ac:dyDescent="0.3">
      <c r="A299" t="s">
        <v>628</v>
      </c>
      <c r="B299" s="2">
        <v>45298</v>
      </c>
      <c r="C299" s="2" t="str" cm="1">
        <f t="array" ref="C29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299">
        <f>YEAR(AllDataApr[[#This Row],[Date]])</f>
        <v>2024</v>
      </c>
      <c r="E299" s="1">
        <v>0.47708333333333336</v>
      </c>
      <c r="F299" s="2" t="str">
        <f>IF(AND(AllDataApr[[#This Row],[Time]]&lt;0.5, AllDataApr[[#This Row],[Time]]&gt;0.17)=TRUE, "Morning", IF(AND(AllDataApr[[#This Row],[Time]]&lt;0.75, AllDataApr[[#This Row],[Time]]&gt;=0.5)=TRUE, "Afternoon", IF(AND(AllDataApr[[#This Row],[Time]]&lt;1, AllDataApr[[#This Row],[Time]]&gt;=0.75)=TRUE, "Evening", "Night")))</f>
        <v>Morning</v>
      </c>
      <c r="G299" t="s">
        <v>38</v>
      </c>
      <c r="H299" t="str">
        <f>_xlfn.XLOOKUP(AllDataApr[[#This Row],[Location Name]], Locations[Row Labels],Locations[Group As])</f>
        <v>Pitch 16</v>
      </c>
      <c r="I299" t="str">
        <f>_xlfn.XLOOKUP(AllDataApr[[#This Row],[Site Name]],LocationsKey[Site Name],LocationsKey[Region])</f>
        <v>Stratford</v>
      </c>
      <c r="J299" t="str">
        <f>_xlfn.XLOOKUP(AllDataApr[[#This Row],[Site Name]],LocationsKey[Site Name], LocationsKey[Waterway])</f>
        <v>Avon</v>
      </c>
      <c r="K299" t="s">
        <v>39</v>
      </c>
      <c r="L299">
        <v>52.172691999999998</v>
      </c>
      <c r="M299">
        <v>-1.7451950000000001</v>
      </c>
      <c r="N299" t="s">
        <v>18</v>
      </c>
      <c r="O299">
        <v>655</v>
      </c>
      <c r="P299">
        <v>6.2</v>
      </c>
      <c r="Q299">
        <v>3</v>
      </c>
      <c r="R299" s="7" t="str">
        <f>IF(AllDataApr[[#This Row],[Nitrate (PPM)]]&gt;2, "Very high", IF(AllDataApr[[#This Row],[Nitrate (PPM)]]&gt;1, "High", IF(AllDataApr[[#This Row],[Nitrate (PPM)]]&gt;0.5, "Some evidence", IF(AllDataApr[[#This Row],[Nitrate (PPM)]]&gt;0, "No evidence", IF(AllDataApr[[#This Row],[Nitrate (PPM)]]=0, "")))))</f>
        <v>Very high</v>
      </c>
      <c r="S299">
        <v>0.39</v>
      </c>
      <c r="T299" s="7" t="str">
        <f>IF(AllDataApr[[#This Row],[Phosphate (PPM)]]&gt;0.5, "Very high", IF(AllDataApr[[#This Row],[Phosphate (PPM)]]&gt;0.1, "High", IF(AllDataApr[[#This Row],[Phosphate (PPM)]]&gt;0.05, "Some evidence", IF(AllDataApr[[#This Row],[Phosphate (PPM)]]=0, ""))))</f>
        <v>High</v>
      </c>
      <c r="U299">
        <v>1</v>
      </c>
      <c r="V299" t="s">
        <v>209</v>
      </c>
    </row>
    <row r="300" spans="1:22" x14ac:dyDescent="0.3">
      <c r="A300" t="s">
        <v>612</v>
      </c>
      <c r="B300" s="2">
        <v>45298</v>
      </c>
      <c r="C300" s="2" t="str" cm="1">
        <f t="array" ref="C30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00">
        <f>YEAR(AllDataApr[[#This Row],[Date]])</f>
        <v>2024</v>
      </c>
      <c r="E300" s="1">
        <v>0.52083333333333337</v>
      </c>
      <c r="F300" s="2" t="str">
        <f>IF(AND(AllDataApr[[#This Row],[Time]]&lt;0.5, AllDataApr[[#This Row],[Time]]&gt;0.17)=TRUE, "Morning", IF(AND(AllDataApr[[#This Row],[Time]]&lt;0.75, AllDataApr[[#This Row],[Time]]&gt;=0.5)=TRUE, "Afternoon", IF(AND(AllDataApr[[#This Row],[Time]]&lt;1, AllDataApr[[#This Row],[Time]]&gt;=0.75)=TRUE, "Evening", "Night")))</f>
        <v>Afternoon</v>
      </c>
      <c r="G300" t="s">
        <v>20</v>
      </c>
      <c r="H300" t="str">
        <f>_xlfn.XLOOKUP(AllDataApr[[#This Row],[Location Name]], Locations[Row Labels],Locations[Group As])</f>
        <v>Hampton Wood</v>
      </c>
      <c r="I300" t="str">
        <f>_xlfn.XLOOKUP(AllDataApr[[#This Row],[Site Name]],LocationsKey[Site Name],LocationsKey[Region])</f>
        <v>Stratford</v>
      </c>
      <c r="J300" t="str">
        <f>_xlfn.XLOOKUP(AllDataApr[[#This Row],[Site Name]],LocationsKey[Site Name], LocationsKey[Waterway])</f>
        <v>Avon</v>
      </c>
      <c r="K300" t="s">
        <v>25</v>
      </c>
      <c r="L300">
        <v>52.238149999999997</v>
      </c>
      <c r="M300">
        <v>-1.6245799999999999</v>
      </c>
      <c r="N300" t="s">
        <v>18</v>
      </c>
      <c r="O300">
        <v>630</v>
      </c>
      <c r="P300">
        <v>6.7</v>
      </c>
      <c r="Q300">
        <v>10</v>
      </c>
      <c r="R300" s="7" t="str">
        <f>IF(AllDataApr[[#This Row],[Nitrate (PPM)]]&gt;2, "Very high", IF(AllDataApr[[#This Row],[Nitrate (PPM)]]&gt;1, "High", IF(AllDataApr[[#This Row],[Nitrate (PPM)]]&gt;0.5, "Some evidence", IF(AllDataApr[[#This Row],[Nitrate (PPM)]]&gt;0, "No evidence", IF(AllDataApr[[#This Row],[Nitrate (PPM)]]=0, "")))))</f>
        <v>Very high</v>
      </c>
      <c r="S300">
        <v>0.4</v>
      </c>
      <c r="T300" s="7" t="str">
        <f>IF(AllDataApr[[#This Row],[Phosphate (PPM)]]&gt;0.5, "Very high", IF(AllDataApr[[#This Row],[Phosphate (PPM)]]&gt;0.1, "High", IF(AllDataApr[[#This Row],[Phosphate (PPM)]]&gt;0.05, "Some evidence", IF(AllDataApr[[#This Row],[Phosphate (PPM)]]=0, ""))))</f>
        <v>High</v>
      </c>
      <c r="U300">
        <v>0</v>
      </c>
    </row>
    <row r="301" spans="1:22" x14ac:dyDescent="0.3">
      <c r="A301" t="s">
        <v>609</v>
      </c>
      <c r="B301" s="2">
        <v>45298</v>
      </c>
      <c r="C301" s="2" t="str" cm="1">
        <f t="array" ref="C30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01">
        <f>YEAR(AllDataApr[[#This Row],[Date]])</f>
        <v>2024</v>
      </c>
      <c r="E301" s="1">
        <v>0.55208333333333337</v>
      </c>
      <c r="F301" s="2" t="str">
        <f>IF(AND(AllDataApr[[#This Row],[Time]]&lt;0.5, AllDataApr[[#This Row],[Time]]&gt;0.17)=TRUE, "Morning", IF(AND(AllDataApr[[#This Row],[Time]]&lt;0.75, AllDataApr[[#This Row],[Time]]&gt;=0.5)=TRUE, "Afternoon", IF(AND(AllDataApr[[#This Row],[Time]]&lt;1, AllDataApr[[#This Row],[Time]]&gt;=0.75)=TRUE, "Evening", "Night")))</f>
        <v>Afternoon</v>
      </c>
      <c r="G301" t="s">
        <v>95</v>
      </c>
      <c r="H301" t="str">
        <f>_xlfn.XLOOKUP(AllDataApr[[#This Row],[Location Name]], Locations[Row Labels],Locations[Group As])</f>
        <v>Hampton Lucy</v>
      </c>
      <c r="I301" t="str">
        <f>_xlfn.XLOOKUP(AllDataApr[[#This Row],[Site Name]],LocationsKey[Site Name],LocationsKey[Region])</f>
        <v>Stratford</v>
      </c>
      <c r="J301" t="str">
        <f>_xlfn.XLOOKUP(AllDataApr[[#This Row],[Site Name]],LocationsKey[Site Name], LocationsKey[Waterway])</f>
        <v>Avon</v>
      </c>
      <c r="K301" t="s">
        <v>27</v>
      </c>
      <c r="L301">
        <v>52.211680000000001</v>
      </c>
      <c r="M301">
        <v>-1.6244400000000001</v>
      </c>
      <c r="N301" t="s">
        <v>200</v>
      </c>
      <c r="O301">
        <v>618</v>
      </c>
      <c r="P301">
        <v>7.1</v>
      </c>
      <c r="Q301">
        <v>5</v>
      </c>
      <c r="R301" s="7" t="str">
        <f>IF(AllDataApr[[#This Row],[Nitrate (PPM)]]&gt;2, "Very high", IF(AllDataApr[[#This Row],[Nitrate (PPM)]]&gt;1, "High", IF(AllDataApr[[#This Row],[Nitrate (PPM)]]&gt;0.5, "Some evidence", IF(AllDataApr[[#This Row],[Nitrate (PPM)]]&gt;0, "No evidence", IF(AllDataApr[[#This Row],[Nitrate (PPM)]]=0, "")))))</f>
        <v>Very high</v>
      </c>
      <c r="S301">
        <v>0.69</v>
      </c>
      <c r="T301" s="7" t="str">
        <f>IF(AllDataApr[[#This Row],[Phosphate (PPM)]]&gt;0.5, "Very high", IF(AllDataApr[[#This Row],[Phosphate (PPM)]]&gt;0.1, "High", IF(AllDataApr[[#This Row],[Phosphate (PPM)]]&gt;0.05, "Some evidence", IF(AllDataApr[[#This Row],[Phosphate (PPM)]]=0, ""))))</f>
        <v>Very high</v>
      </c>
      <c r="U301">
        <v>0</v>
      </c>
    </row>
    <row r="302" spans="1:22" x14ac:dyDescent="0.3">
      <c r="A302" t="s">
        <v>603</v>
      </c>
      <c r="B302" s="2">
        <v>45298</v>
      </c>
      <c r="C302" s="2" t="str" cm="1">
        <f t="array" ref="C30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02">
        <f>YEAR(AllDataApr[[#This Row],[Date]])</f>
        <v>2024</v>
      </c>
      <c r="E302" s="1">
        <v>0.58333333333333337</v>
      </c>
      <c r="F302" s="2" t="str">
        <f>IF(AND(AllDataApr[[#This Row],[Time]]&lt;0.5, AllDataApr[[#This Row],[Time]]&gt;0.17)=TRUE, "Morning", IF(AND(AllDataApr[[#This Row],[Time]]&lt;0.75, AllDataApr[[#This Row],[Time]]&gt;=0.5)=TRUE, "Afternoon", IF(AND(AllDataApr[[#This Row],[Time]]&lt;1, AllDataApr[[#This Row],[Time]]&gt;=0.75)=TRUE, "Evening", "Night")))</f>
        <v>Afternoon</v>
      </c>
      <c r="G302" t="s">
        <v>52</v>
      </c>
      <c r="H302" t="str">
        <f>_xlfn.XLOOKUP(AllDataApr[[#This Row],[Location Name]], Locations[Row Labels],Locations[Group As])</f>
        <v>Carrant Bredon Rd</v>
      </c>
      <c r="I302" t="str">
        <f>_xlfn.XLOOKUP(AllDataApr[[#This Row],[Site Name]],LocationsKey[Site Name],LocationsKey[Region])</f>
        <v>Tewkesbury</v>
      </c>
      <c r="J302" t="str">
        <f>_xlfn.XLOOKUP(AllDataApr[[#This Row],[Site Name]],LocationsKey[Site Name], LocationsKey[Waterway])</f>
        <v>Carrant</v>
      </c>
      <c r="K302" t="s">
        <v>53</v>
      </c>
      <c r="L302">
        <v>51.996360000000003</v>
      </c>
      <c r="M302">
        <v>-2.1560489999999999</v>
      </c>
      <c r="N302" t="s">
        <v>200</v>
      </c>
      <c r="O302">
        <v>449</v>
      </c>
      <c r="P302">
        <v>7</v>
      </c>
      <c r="Q302">
        <v>4</v>
      </c>
      <c r="R302" s="7" t="str">
        <f>IF(AllDataApr[[#This Row],[Nitrate (PPM)]]&gt;2, "Very high", IF(AllDataApr[[#This Row],[Nitrate (PPM)]]&gt;1, "High", IF(AllDataApr[[#This Row],[Nitrate (PPM)]]&gt;0.5, "Some evidence", IF(AllDataApr[[#This Row],[Nitrate (PPM)]]&gt;0, "No evidence", IF(AllDataApr[[#This Row],[Nitrate (PPM)]]=0, "")))))</f>
        <v>Very high</v>
      </c>
      <c r="S302">
        <v>0.5</v>
      </c>
      <c r="T302" s="7" t="str">
        <f>IF(AllDataApr[[#This Row],[Phosphate (PPM)]]&gt;0.5, "Very high", IF(AllDataApr[[#This Row],[Phosphate (PPM)]]&gt;0.1, "High", IF(AllDataApr[[#This Row],[Phosphate (PPM)]]&gt;0.05, "Some evidence", IF(AllDataApr[[#This Row],[Phosphate (PPM)]]=0, ""))))</f>
        <v>High</v>
      </c>
      <c r="U302">
        <v>2.17</v>
      </c>
      <c r="V302" t="s">
        <v>208</v>
      </c>
    </row>
    <row r="303" spans="1:22" x14ac:dyDescent="0.3">
      <c r="A303" t="s">
        <v>627</v>
      </c>
      <c r="B303" s="2">
        <v>45299</v>
      </c>
      <c r="C303" s="2" t="str" cm="1">
        <f t="array" ref="C30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03">
        <f>YEAR(AllDataApr[[#This Row],[Date]])</f>
        <v>2024</v>
      </c>
      <c r="E303" s="1">
        <v>0.4</v>
      </c>
      <c r="F303" s="2" t="str">
        <f>IF(AND(AllDataApr[[#This Row],[Time]]&lt;0.5, AllDataApr[[#This Row],[Time]]&gt;0.17)=TRUE, "Morning", IF(AND(AllDataApr[[#This Row],[Time]]&lt;0.75, AllDataApr[[#This Row],[Time]]&gt;=0.5)=TRUE, "Afternoon", IF(AND(AllDataApr[[#This Row],[Time]]&lt;1, AllDataApr[[#This Row],[Time]]&gt;=0.75)=TRUE, "Evening", "Night")))</f>
        <v>Morning</v>
      </c>
      <c r="G303" t="s">
        <v>150</v>
      </c>
      <c r="H303" t="str">
        <f>_xlfn.XLOOKUP(AllDataApr[[#This Row],[Location Name]], Locations[Row Labels],Locations[Group As])</f>
        <v>Stour Stretton-on-Fosse Village</v>
      </c>
      <c r="I303" t="str">
        <f>_xlfn.XLOOKUP(AllDataApr[[#This Row],[Site Name]],LocationsKey[Site Name],LocationsKey[Region])</f>
        <v>Shipston</v>
      </c>
      <c r="J303" t="str">
        <f>_xlfn.XLOOKUP(AllDataApr[[#This Row],[Site Name]],LocationsKey[Site Name], LocationsKey[Waterway])</f>
        <v>Stour</v>
      </c>
      <c r="K303" t="s">
        <v>161</v>
      </c>
      <c r="L303">
        <v>52.046579000000001</v>
      </c>
      <c r="M303">
        <v>-1.6734560000000001</v>
      </c>
      <c r="N303" t="s">
        <v>42</v>
      </c>
      <c r="O303">
        <v>573</v>
      </c>
      <c r="P303">
        <v>5.8</v>
      </c>
      <c r="Q303">
        <v>2</v>
      </c>
      <c r="R303" s="7" t="str">
        <f>IF(AllDataApr[[#This Row],[Nitrate (PPM)]]&gt;2, "Very high", IF(AllDataApr[[#This Row],[Nitrate (PPM)]]&gt;1, "High", IF(AllDataApr[[#This Row],[Nitrate (PPM)]]&gt;0.5, "Some evidence", IF(AllDataApr[[#This Row],[Nitrate (PPM)]]&gt;0, "No evidence", IF(AllDataApr[[#This Row],[Nitrate (PPM)]]=0, "")))))</f>
        <v>High</v>
      </c>
      <c r="S303">
        <v>1.07</v>
      </c>
      <c r="T303" s="7" t="str">
        <f>IF(AllDataApr[[#This Row],[Phosphate (PPM)]]&gt;0.5, "Very high", IF(AllDataApr[[#This Row],[Phosphate (PPM)]]&gt;0.1, "High", IF(AllDataApr[[#This Row],[Phosphate (PPM)]]&gt;0.05, "Some evidence", IF(AllDataApr[[#This Row],[Phosphate (PPM)]]=0, ""))))</f>
        <v>Very high</v>
      </c>
      <c r="U303">
        <v>0.2</v>
      </c>
    </row>
    <row r="304" spans="1:22" x14ac:dyDescent="0.3">
      <c r="A304" t="s">
        <v>626</v>
      </c>
      <c r="B304" s="2">
        <v>45299</v>
      </c>
      <c r="C304" s="2" t="str" cm="1">
        <f t="array" ref="C30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04">
        <f>YEAR(AllDataApr[[#This Row],[Date]])</f>
        <v>2024</v>
      </c>
      <c r="E304" s="1">
        <v>0.40972222222222221</v>
      </c>
      <c r="F304" s="2" t="str">
        <f>IF(AND(AllDataApr[[#This Row],[Time]]&lt;0.5, AllDataApr[[#This Row],[Time]]&gt;0.17)=TRUE, "Morning", IF(AND(AllDataApr[[#This Row],[Time]]&lt;0.75, AllDataApr[[#This Row],[Time]]&gt;=0.5)=TRUE, "Afternoon", IF(AND(AllDataApr[[#This Row],[Time]]&lt;1, AllDataApr[[#This Row],[Time]]&gt;=0.75)=TRUE, "Evening", "Night")))</f>
        <v>Morning</v>
      </c>
      <c r="G304" t="s">
        <v>150</v>
      </c>
      <c r="H304" t="str">
        <f>_xlfn.XLOOKUP(AllDataApr[[#This Row],[Location Name]], Locations[Row Labels],Locations[Group As])</f>
        <v>Stour Stretton-on-Fosse Sewage Works</v>
      </c>
      <c r="I304" t="str">
        <f>_xlfn.XLOOKUP(AllDataApr[[#This Row],[Site Name]],LocationsKey[Site Name],LocationsKey[Region])</f>
        <v>Shipston</v>
      </c>
      <c r="J304" t="str">
        <f>_xlfn.XLOOKUP(AllDataApr[[#This Row],[Site Name]],LocationsKey[Site Name], LocationsKey[Waterway])</f>
        <v>Stour</v>
      </c>
      <c r="K304" t="s">
        <v>151</v>
      </c>
      <c r="L304">
        <v>52.045603</v>
      </c>
      <c r="M304">
        <v>-1.6719900000000001</v>
      </c>
      <c r="N304" t="s">
        <v>18</v>
      </c>
      <c r="O304">
        <v>628</v>
      </c>
      <c r="P304">
        <v>5.3</v>
      </c>
      <c r="Q304">
        <v>2</v>
      </c>
      <c r="R304" s="7" t="str">
        <f>IF(AllDataApr[[#This Row],[Nitrate (PPM)]]&gt;2, "Very high", IF(AllDataApr[[#This Row],[Nitrate (PPM)]]&gt;1, "High", IF(AllDataApr[[#This Row],[Nitrate (PPM)]]&gt;0.5, "Some evidence", IF(AllDataApr[[#This Row],[Nitrate (PPM)]]&gt;0, "No evidence", IF(AllDataApr[[#This Row],[Nitrate (PPM)]]=0, "")))))</f>
        <v>High</v>
      </c>
      <c r="S304">
        <v>1.91</v>
      </c>
      <c r="T304" s="7" t="str">
        <f>IF(AllDataApr[[#This Row],[Phosphate (PPM)]]&gt;0.5, "Very high", IF(AllDataApr[[#This Row],[Phosphate (PPM)]]&gt;0.1, "High", IF(AllDataApr[[#This Row],[Phosphate (PPM)]]&gt;0.05, "Some evidence", IF(AllDataApr[[#This Row],[Phosphate (PPM)]]=0, ""))))</f>
        <v>Very high</v>
      </c>
      <c r="U304">
        <v>0.3</v>
      </c>
    </row>
    <row r="305" spans="1:22" x14ac:dyDescent="0.3">
      <c r="A305" t="s">
        <v>624</v>
      </c>
      <c r="B305" s="2">
        <v>45299</v>
      </c>
      <c r="C305" s="2" t="str" cm="1">
        <f t="array" ref="C30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05">
        <f>YEAR(AllDataApr[[#This Row],[Date]])</f>
        <v>2024</v>
      </c>
      <c r="E305" s="1">
        <v>0.625</v>
      </c>
      <c r="F305" s="2" t="str">
        <f>IF(AND(AllDataApr[[#This Row],[Time]]&lt;0.5, AllDataApr[[#This Row],[Time]]&gt;0.17)=TRUE, "Morning", IF(AND(AllDataApr[[#This Row],[Time]]&lt;0.75, AllDataApr[[#This Row],[Time]]&gt;=0.5)=TRUE, "Afternoon", IF(AND(AllDataApr[[#This Row],[Time]]&lt;1, AllDataApr[[#This Row],[Time]]&gt;=0.75)=TRUE, "Evening", "Night")))</f>
        <v>Afternoon</v>
      </c>
      <c r="G305" t="s">
        <v>46</v>
      </c>
      <c r="H305" t="str">
        <f>_xlfn.XLOOKUP(AllDataApr[[#This Row],[Location Name]], Locations[Row Labels],Locations[Group As])</f>
        <v>Swilgate</v>
      </c>
      <c r="I305" t="str">
        <f>_xlfn.XLOOKUP(AllDataApr[[#This Row],[Site Name]],LocationsKey[Site Name],LocationsKey[Region])</f>
        <v>Tewkesbury</v>
      </c>
      <c r="J305" t="str">
        <f>_xlfn.XLOOKUP(AllDataApr[[#This Row],[Site Name]],LocationsKey[Site Name], LocationsKey[Waterway])</f>
        <v>Swilgate</v>
      </c>
      <c r="K305" t="s">
        <v>47</v>
      </c>
      <c r="N305" t="s">
        <v>200</v>
      </c>
      <c r="O305">
        <v>703</v>
      </c>
      <c r="P305">
        <v>7</v>
      </c>
      <c r="Q305">
        <v>5</v>
      </c>
      <c r="R305" s="7" t="str">
        <f>IF(AllDataApr[[#This Row],[Nitrate (PPM)]]&gt;2, "Very high", IF(AllDataApr[[#This Row],[Nitrate (PPM)]]&gt;1, "High", IF(AllDataApr[[#This Row],[Nitrate (PPM)]]&gt;0.5, "Some evidence", IF(AllDataApr[[#This Row],[Nitrate (PPM)]]&gt;0, "No evidence", IF(AllDataApr[[#This Row],[Nitrate (PPM)]]=0, "")))))</f>
        <v>Very high</v>
      </c>
      <c r="S305">
        <v>0.46</v>
      </c>
      <c r="T305" s="7" t="str">
        <f>IF(AllDataApr[[#This Row],[Phosphate (PPM)]]&gt;0.5, "Very high", IF(AllDataApr[[#This Row],[Phosphate (PPM)]]&gt;0.1, "High", IF(AllDataApr[[#This Row],[Phosphate (PPM)]]&gt;0.05, "Some evidence", IF(AllDataApr[[#This Row],[Phosphate (PPM)]]=0, ""))))</f>
        <v>High</v>
      </c>
      <c r="U305">
        <v>2</v>
      </c>
      <c r="V305" t="s">
        <v>211</v>
      </c>
    </row>
    <row r="306" spans="1:22" x14ac:dyDescent="0.3">
      <c r="A306" t="s">
        <v>605</v>
      </c>
      <c r="B306" s="2">
        <v>45300</v>
      </c>
      <c r="C306" s="2" t="str" cm="1">
        <f t="array" ref="C30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06">
        <f>YEAR(AllDataApr[[#This Row],[Date]])</f>
        <v>2024</v>
      </c>
      <c r="E306" s="1">
        <v>0.5</v>
      </c>
      <c r="F306" s="2" t="str">
        <f>IF(AND(AllDataApr[[#This Row],[Time]]&lt;0.5, AllDataApr[[#This Row],[Time]]&gt;0.17)=TRUE, "Morning", IF(AND(AllDataApr[[#This Row],[Time]]&lt;0.75, AllDataApr[[#This Row],[Time]]&gt;=0.5)=TRUE, "Afternoon", IF(AND(AllDataApr[[#This Row],[Time]]&lt;1, AllDataApr[[#This Row],[Time]]&gt;=0.75)=TRUE, "Evening", "Night")))</f>
        <v>Afternoon</v>
      </c>
      <c r="G306" t="s">
        <v>100</v>
      </c>
      <c r="H306" t="str">
        <f>_xlfn.XLOOKUP(AllDataApr[[#This Row],[Location Name]], Locations[Row Labels],Locations[Group As])</f>
        <v>Barton</v>
      </c>
      <c r="I306" t="str">
        <f>_xlfn.XLOOKUP(AllDataApr[[#This Row],[Site Name]],LocationsKey[Site Name],LocationsKey[Region])</f>
        <v>Stratford</v>
      </c>
      <c r="J306" t="str">
        <f>_xlfn.XLOOKUP(AllDataApr[[#This Row],[Site Name]],LocationsKey[Site Name], LocationsKey[Waterway])</f>
        <v>Avon</v>
      </c>
      <c r="K306" t="s">
        <v>29</v>
      </c>
      <c r="L306">
        <v>52.161209999999997</v>
      </c>
      <c r="M306">
        <v>-1.8301499999999999</v>
      </c>
      <c r="N306" t="s">
        <v>18</v>
      </c>
      <c r="O306">
        <v>728</v>
      </c>
      <c r="P306">
        <v>8.1</v>
      </c>
      <c r="Q306">
        <v>20</v>
      </c>
      <c r="R306" s="7" t="str">
        <f>IF(AllDataApr[[#This Row],[Nitrate (PPM)]]&gt;2, "Very high", IF(AllDataApr[[#This Row],[Nitrate (PPM)]]&gt;1, "High", IF(AllDataApr[[#This Row],[Nitrate (PPM)]]&gt;0.5, "Some evidence", IF(AllDataApr[[#This Row],[Nitrate (PPM)]]&gt;0, "No evidence", IF(AllDataApr[[#This Row],[Nitrate (PPM)]]=0, "")))))</f>
        <v>Very high</v>
      </c>
      <c r="S306">
        <v>0.42</v>
      </c>
      <c r="T306" s="7" t="str">
        <f>IF(AllDataApr[[#This Row],[Phosphate (PPM)]]&gt;0.5, "Very high", IF(AllDataApr[[#This Row],[Phosphate (PPM)]]&gt;0.1, "High", IF(AllDataApr[[#This Row],[Phosphate (PPM)]]&gt;0.05, "Some evidence", IF(AllDataApr[[#This Row],[Phosphate (PPM)]]=0, ""))))</f>
        <v>High</v>
      </c>
      <c r="U306">
        <v>0</v>
      </c>
    </row>
    <row r="307" spans="1:22" x14ac:dyDescent="0.3">
      <c r="A307" t="s">
        <v>625</v>
      </c>
      <c r="B307" s="2">
        <v>45300</v>
      </c>
      <c r="C307" s="2" t="str" cm="1">
        <f t="array" ref="C30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07">
        <f>YEAR(AllDataApr[[#This Row],[Date]])</f>
        <v>2024</v>
      </c>
      <c r="E307" s="1">
        <v>0.68055555555555558</v>
      </c>
      <c r="F307" s="2" t="str">
        <f>IF(AND(AllDataApr[[#This Row],[Time]]&lt;0.5, AllDataApr[[#This Row],[Time]]&gt;0.17)=TRUE, "Morning", IF(AND(AllDataApr[[#This Row],[Time]]&lt;0.75, AllDataApr[[#This Row],[Time]]&gt;=0.5)=TRUE, "Afternoon", IF(AND(AllDataApr[[#This Row],[Time]]&lt;1, AllDataApr[[#This Row],[Time]]&gt;=0.75)=TRUE, "Evening", "Night")))</f>
        <v>Afternoon</v>
      </c>
      <c r="G307" t="s">
        <v>11</v>
      </c>
      <c r="H307" t="str">
        <f>_xlfn.XLOOKUP(AllDataApr[[#This Row],[Location Name]], Locations[Row Labels],Locations[Group As])</f>
        <v>Abbey Mill</v>
      </c>
      <c r="I307" t="str">
        <f>_xlfn.XLOOKUP(AllDataApr[[#This Row],[Site Name]],LocationsKey[Site Name],LocationsKey[Region])</f>
        <v>Tewkesbury</v>
      </c>
      <c r="J307" t="str">
        <f>_xlfn.XLOOKUP(AllDataApr[[#This Row],[Site Name]],LocationsKey[Site Name], LocationsKey[Waterway])</f>
        <v>Avon</v>
      </c>
      <c r="K307" t="s">
        <v>12</v>
      </c>
      <c r="N307" t="s">
        <v>200</v>
      </c>
      <c r="O307">
        <v>623</v>
      </c>
      <c r="P307">
        <v>7.4</v>
      </c>
      <c r="Q307">
        <v>8</v>
      </c>
      <c r="R307" s="7" t="str">
        <f>IF(AllDataApr[[#This Row],[Nitrate (PPM)]]&gt;2, "Very high", IF(AllDataApr[[#This Row],[Nitrate (PPM)]]&gt;1, "High", IF(AllDataApr[[#This Row],[Nitrate (PPM)]]&gt;0.5, "Some evidence", IF(AllDataApr[[#This Row],[Nitrate (PPM)]]&gt;0, "No evidence", IF(AllDataApr[[#This Row],[Nitrate (PPM)]]=0, "")))))</f>
        <v>Very high</v>
      </c>
      <c r="S307">
        <v>0.91</v>
      </c>
      <c r="T307" s="7" t="str">
        <f>IF(AllDataApr[[#This Row],[Phosphate (PPM)]]&gt;0.5, "Very high", IF(AllDataApr[[#This Row],[Phosphate (PPM)]]&gt;0.1, "High", IF(AllDataApr[[#This Row],[Phosphate (PPM)]]&gt;0.05, "Some evidence", IF(AllDataApr[[#This Row],[Phosphate (PPM)]]=0, ""))))</f>
        <v>Very high</v>
      </c>
      <c r="U307">
        <v>2</v>
      </c>
      <c r="V307" t="s">
        <v>122</v>
      </c>
    </row>
    <row r="308" spans="1:22" x14ac:dyDescent="0.3">
      <c r="A308" t="s">
        <v>599</v>
      </c>
      <c r="B308" s="2">
        <v>45301</v>
      </c>
      <c r="C308" s="2" t="str" cm="1">
        <f t="array" ref="C30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08">
        <f>YEAR(AllDataApr[[#This Row],[Date]])</f>
        <v>2024</v>
      </c>
      <c r="E308" s="1">
        <v>0.64583333333333337</v>
      </c>
      <c r="F308" s="2" t="str">
        <f>IF(AND(AllDataApr[[#This Row],[Time]]&lt;0.5, AllDataApr[[#This Row],[Time]]&gt;0.17)=TRUE, "Morning", IF(AND(AllDataApr[[#This Row],[Time]]&lt;0.75, AllDataApr[[#This Row],[Time]]&gt;=0.5)=TRUE, "Afternoon", IF(AND(AllDataApr[[#This Row],[Time]]&lt;1, AllDataApr[[#This Row],[Time]]&gt;=0.75)=TRUE, "Evening", "Night")))</f>
        <v>Afternoon</v>
      </c>
      <c r="G308" t="s">
        <v>57</v>
      </c>
      <c r="H308" t="str">
        <f>_xlfn.XLOOKUP(AllDataApr[[#This Row],[Location Name]], Locations[Row Labels],Locations[Group As])</f>
        <v>Stour Newbold Mill</v>
      </c>
      <c r="I308" t="str">
        <f>_xlfn.XLOOKUP(AllDataApr[[#This Row],[Site Name]],LocationsKey[Site Name],LocationsKey[Region])</f>
        <v>Shipston</v>
      </c>
      <c r="J308" t="str">
        <f>_xlfn.XLOOKUP(AllDataApr[[#This Row],[Site Name]],LocationsKey[Site Name], LocationsKey[Waterway])</f>
        <v>Stour</v>
      </c>
      <c r="K308" t="s">
        <v>66</v>
      </c>
      <c r="L308">
        <v>52.112845999999998</v>
      </c>
      <c r="M308">
        <v>-1.633429</v>
      </c>
      <c r="N308" t="s">
        <v>18</v>
      </c>
      <c r="O308">
        <v>640</v>
      </c>
      <c r="P308">
        <v>8.1999999999999993</v>
      </c>
      <c r="Q308">
        <v>5</v>
      </c>
      <c r="R308" s="7" t="str">
        <f>IF(AllDataApr[[#This Row],[Nitrate (PPM)]]&gt;2, "Very high", IF(AllDataApr[[#This Row],[Nitrate (PPM)]]&gt;1, "High", IF(AllDataApr[[#This Row],[Nitrate (PPM)]]&gt;0.5, "Some evidence", IF(AllDataApr[[#This Row],[Nitrate (PPM)]]&gt;0, "No evidence", IF(AllDataApr[[#This Row],[Nitrate (PPM)]]=0, "")))))</f>
        <v>Very high</v>
      </c>
      <c r="S308">
        <v>0.22</v>
      </c>
      <c r="T308" s="7" t="str">
        <f>IF(AllDataApr[[#This Row],[Phosphate (PPM)]]&gt;0.5, "Very high", IF(AllDataApr[[#This Row],[Phosphate (PPM)]]&gt;0.1, "High", IF(AllDataApr[[#This Row],[Phosphate (PPM)]]&gt;0.05, "Some evidence", IF(AllDataApr[[#This Row],[Phosphate (PPM)]]=0, ""))))</f>
        <v>High</v>
      </c>
      <c r="U308">
        <v>2.5</v>
      </c>
      <c r="V308" t="s">
        <v>241</v>
      </c>
    </row>
    <row r="309" spans="1:22" x14ac:dyDescent="0.3">
      <c r="A309" t="s">
        <v>623</v>
      </c>
      <c r="B309" s="2">
        <v>45302</v>
      </c>
      <c r="C309" s="2" t="str" cm="1">
        <f t="array" ref="C30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09">
        <f>YEAR(AllDataApr[[#This Row],[Date]])</f>
        <v>2024</v>
      </c>
      <c r="E309" s="1">
        <v>0.43333333333333335</v>
      </c>
      <c r="F309" s="2" t="str">
        <f>IF(AND(AllDataApr[[#This Row],[Time]]&lt;0.5, AllDataApr[[#This Row],[Time]]&gt;0.17)=TRUE, "Morning", IF(AND(AllDataApr[[#This Row],[Time]]&lt;0.75, AllDataApr[[#This Row],[Time]]&gt;=0.5)=TRUE, "Afternoon", IF(AND(AllDataApr[[#This Row],[Time]]&lt;1, AllDataApr[[#This Row],[Time]]&gt;=0.75)=TRUE, "Evening", "Night")))</f>
        <v>Morning</v>
      </c>
      <c r="G309" t="s">
        <v>55</v>
      </c>
      <c r="H309" t="str">
        <f>_xlfn.XLOOKUP(AllDataApr[[#This Row],[Location Name]], Locations[Row Labels],Locations[Group As])</f>
        <v>Stour Willington</v>
      </c>
      <c r="I309" t="str">
        <f>_xlfn.XLOOKUP(AllDataApr[[#This Row],[Site Name]],LocationsKey[Site Name],LocationsKey[Region])</f>
        <v>Shipston</v>
      </c>
      <c r="J309" t="str">
        <f>_xlfn.XLOOKUP(AllDataApr[[#This Row],[Site Name]],LocationsKey[Site Name], LocationsKey[Waterway])</f>
        <v>Stour</v>
      </c>
      <c r="K309" t="s">
        <v>197</v>
      </c>
      <c r="L309">
        <v>52.050897999999997</v>
      </c>
      <c r="M309">
        <v>-1.613686</v>
      </c>
      <c r="N309" t="s">
        <v>200</v>
      </c>
      <c r="O309">
        <v>602</v>
      </c>
      <c r="P309">
        <v>6.9</v>
      </c>
      <c r="Q309">
        <v>2</v>
      </c>
      <c r="R309" s="7" t="str">
        <f>IF(AllDataApr[[#This Row],[Nitrate (PPM)]]&gt;2, "Very high", IF(AllDataApr[[#This Row],[Nitrate (PPM)]]&gt;1, "High", IF(AllDataApr[[#This Row],[Nitrate (PPM)]]&gt;0.5, "Some evidence", IF(AllDataApr[[#This Row],[Nitrate (PPM)]]&gt;0, "No evidence", IF(AllDataApr[[#This Row],[Nitrate (PPM)]]=0, "")))))</f>
        <v>High</v>
      </c>
      <c r="S309">
        <v>0.18</v>
      </c>
      <c r="T309" s="7" t="str">
        <f>IF(AllDataApr[[#This Row],[Phosphate (PPM)]]&gt;0.5, "Very high", IF(AllDataApr[[#This Row],[Phosphate (PPM)]]&gt;0.1, "High", IF(AllDataApr[[#This Row],[Phosphate (PPM)]]&gt;0.05, "Some evidence", IF(AllDataApr[[#This Row],[Phosphate (PPM)]]=0, ""))))</f>
        <v>High</v>
      </c>
      <c r="U309">
        <v>1</v>
      </c>
    </row>
    <row r="310" spans="1:22" x14ac:dyDescent="0.3">
      <c r="A310" t="s">
        <v>619</v>
      </c>
      <c r="B310" s="2">
        <v>45302</v>
      </c>
      <c r="C310" s="2" t="str" cm="1">
        <f t="array" ref="C31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10">
        <f>YEAR(AllDataApr[[#This Row],[Date]])</f>
        <v>2024</v>
      </c>
      <c r="E310" s="1">
        <v>0.4375</v>
      </c>
      <c r="F310" s="2" t="str">
        <f>IF(AND(AllDataApr[[#This Row],[Time]]&lt;0.5, AllDataApr[[#This Row],[Time]]&gt;0.17)=TRUE, "Morning", IF(AND(AllDataApr[[#This Row],[Time]]&lt;0.75, AllDataApr[[#This Row],[Time]]&gt;=0.5)=TRUE, "Afternoon", IF(AND(AllDataApr[[#This Row],[Time]]&lt;1, AllDataApr[[#This Row],[Time]]&gt;=0.75)=TRUE, "Evening", "Night")))</f>
        <v>Morning</v>
      </c>
      <c r="G310" t="s">
        <v>46</v>
      </c>
      <c r="H310" t="str">
        <f>_xlfn.XLOOKUP(AllDataApr[[#This Row],[Location Name]], Locations[Row Labels],Locations[Group As])</f>
        <v>Swilgate</v>
      </c>
      <c r="I310" t="str">
        <f>_xlfn.XLOOKUP(AllDataApr[[#This Row],[Site Name]],LocationsKey[Site Name],LocationsKey[Region])</f>
        <v>Tewkesbury</v>
      </c>
      <c r="J310" t="str">
        <f>_xlfn.XLOOKUP(AllDataApr[[#This Row],[Site Name]],LocationsKey[Site Name], LocationsKey[Waterway])</f>
        <v>Swilgate</v>
      </c>
      <c r="K310" t="s">
        <v>47</v>
      </c>
      <c r="L310">
        <v>51.988615000000003</v>
      </c>
      <c r="M310">
        <v>-2.1637019999999998</v>
      </c>
      <c r="N310" t="s">
        <v>200</v>
      </c>
      <c r="O310">
        <v>846</v>
      </c>
      <c r="P310">
        <v>5.0999999999999996</v>
      </c>
      <c r="Q310">
        <v>4</v>
      </c>
      <c r="R310" s="7" t="str">
        <f>IF(AllDataApr[[#This Row],[Nitrate (PPM)]]&gt;2, "Very high", IF(AllDataApr[[#This Row],[Nitrate (PPM)]]&gt;1, "High", IF(AllDataApr[[#This Row],[Nitrate (PPM)]]&gt;0.5, "Some evidence", IF(AllDataApr[[#This Row],[Nitrate (PPM)]]&gt;0, "No evidence", IF(AllDataApr[[#This Row],[Nitrate (PPM)]]=0, "")))))</f>
        <v>Very high</v>
      </c>
      <c r="S310">
        <v>0.47</v>
      </c>
      <c r="T310" s="7" t="str">
        <f>IF(AllDataApr[[#This Row],[Phosphate (PPM)]]&gt;0.5, "Very high", IF(AllDataApr[[#This Row],[Phosphate (PPM)]]&gt;0.1, "High", IF(AllDataApr[[#This Row],[Phosphate (PPM)]]&gt;0.05, "Some evidence", IF(AllDataApr[[#This Row],[Phosphate (PPM)]]=0, ""))))</f>
        <v>High</v>
      </c>
      <c r="U310">
        <v>1</v>
      </c>
    </row>
    <row r="311" spans="1:22" x14ac:dyDescent="0.3">
      <c r="A311" t="s">
        <v>621</v>
      </c>
      <c r="B311" s="2">
        <v>45302</v>
      </c>
      <c r="C311" s="2" t="str" cm="1">
        <f t="array" ref="C31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11">
        <f>YEAR(AllDataApr[[#This Row],[Date]])</f>
        <v>2024</v>
      </c>
      <c r="E311" s="1">
        <v>0.64583333333333337</v>
      </c>
      <c r="F311" s="2" t="str">
        <f>IF(AND(AllDataApr[[#This Row],[Time]]&lt;0.5, AllDataApr[[#This Row],[Time]]&gt;0.17)=TRUE, "Morning", IF(AND(AllDataApr[[#This Row],[Time]]&lt;0.75, AllDataApr[[#This Row],[Time]]&gt;=0.5)=TRUE, "Afternoon", IF(AND(AllDataApr[[#This Row],[Time]]&lt;1, AllDataApr[[#This Row],[Time]]&gt;=0.75)=TRUE, "Evening", "Night")))</f>
        <v>Afternoon</v>
      </c>
      <c r="G311" t="s">
        <v>129</v>
      </c>
      <c r="H311" t="str">
        <f>_xlfn.XLOOKUP(AllDataApr[[#This Row],[Location Name]], Locations[Row Labels],Locations[Group As])</f>
        <v>Alveston Weir</v>
      </c>
      <c r="I311" t="str">
        <f>_xlfn.XLOOKUP(AllDataApr[[#This Row],[Site Name]],LocationsKey[Site Name],LocationsKey[Region])</f>
        <v>Stratford</v>
      </c>
      <c r="J311" t="str">
        <f>_xlfn.XLOOKUP(AllDataApr[[#This Row],[Site Name]],LocationsKey[Site Name], LocationsKey[Waterway])</f>
        <v>Avon</v>
      </c>
      <c r="K311" t="s">
        <v>128</v>
      </c>
      <c r="L311">
        <v>52.212290000000003</v>
      </c>
      <c r="M311">
        <v>-1.66</v>
      </c>
      <c r="N311" t="s">
        <v>18</v>
      </c>
      <c r="O311">
        <v>719</v>
      </c>
      <c r="P311">
        <v>5.7</v>
      </c>
      <c r="Q311">
        <v>10</v>
      </c>
      <c r="R311" s="7" t="str">
        <f>IF(AllDataApr[[#This Row],[Nitrate (PPM)]]&gt;2, "Very high", IF(AllDataApr[[#This Row],[Nitrate (PPM)]]&gt;1, "High", IF(AllDataApr[[#This Row],[Nitrate (PPM)]]&gt;0.5, "Some evidence", IF(AllDataApr[[#This Row],[Nitrate (PPM)]]&gt;0, "No evidence", IF(AllDataApr[[#This Row],[Nitrate (PPM)]]=0, "")))))</f>
        <v>Very high</v>
      </c>
      <c r="S311">
        <v>0.51</v>
      </c>
      <c r="T311" s="7" t="str">
        <f>IF(AllDataApr[[#This Row],[Phosphate (PPM)]]&gt;0.5, "Very high", IF(AllDataApr[[#This Row],[Phosphate (PPM)]]&gt;0.1, "High", IF(AllDataApr[[#This Row],[Phosphate (PPM)]]&gt;0.05, "Some evidence", IF(AllDataApr[[#This Row],[Phosphate (PPM)]]=0, ""))))</f>
        <v>Very high</v>
      </c>
      <c r="U311">
        <v>1</v>
      </c>
      <c r="V311" t="s">
        <v>212</v>
      </c>
    </row>
    <row r="312" spans="1:22" x14ac:dyDescent="0.3">
      <c r="A312" t="s">
        <v>622</v>
      </c>
      <c r="B312" s="2">
        <v>45302</v>
      </c>
      <c r="C312" s="2" t="str" cm="1">
        <f t="array" ref="C31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12">
        <f>YEAR(AllDataApr[[#This Row],[Date]])</f>
        <v>2024</v>
      </c>
      <c r="E312" s="1">
        <v>0.64583333333333337</v>
      </c>
      <c r="F312" s="2" t="str">
        <f>IF(AND(AllDataApr[[#This Row],[Time]]&lt;0.5, AllDataApr[[#This Row],[Time]]&gt;0.17)=TRUE, "Morning", IF(AND(AllDataApr[[#This Row],[Time]]&lt;0.75, AllDataApr[[#This Row],[Time]]&gt;=0.5)=TRUE, "Afternoon", IF(AND(AllDataApr[[#This Row],[Time]]&lt;1, AllDataApr[[#This Row],[Time]]&gt;=0.75)=TRUE, "Evening", "Night")))</f>
        <v>Afternoon</v>
      </c>
      <c r="G312" t="s">
        <v>156</v>
      </c>
      <c r="H312" t="str">
        <f>_xlfn.XLOOKUP(AllDataApr[[#This Row],[Location Name]], Locations[Row Labels],Locations[Group As])</f>
        <v>Swiffen Bank</v>
      </c>
      <c r="I312" t="str">
        <f>_xlfn.XLOOKUP(AllDataApr[[#This Row],[Site Name]],LocationsKey[Site Name],LocationsKey[Region])</f>
        <v>Stratford</v>
      </c>
      <c r="J312" t="str">
        <f>_xlfn.XLOOKUP(AllDataApr[[#This Row],[Site Name]],LocationsKey[Site Name], LocationsKey[Waterway])</f>
        <v>Avon</v>
      </c>
      <c r="K312" t="s">
        <v>130</v>
      </c>
      <c r="L312">
        <v>52.206477999999997</v>
      </c>
      <c r="M312">
        <v>-1.653894</v>
      </c>
      <c r="N312" t="s">
        <v>18</v>
      </c>
      <c r="O312">
        <v>701</v>
      </c>
      <c r="P312">
        <v>6.5</v>
      </c>
      <c r="Q312">
        <v>5</v>
      </c>
      <c r="R312" s="7" t="str">
        <f>IF(AllDataApr[[#This Row],[Nitrate (PPM)]]&gt;2, "Very high", IF(AllDataApr[[#This Row],[Nitrate (PPM)]]&gt;1, "High", IF(AllDataApr[[#This Row],[Nitrate (PPM)]]&gt;0.5, "Some evidence", IF(AllDataApr[[#This Row],[Nitrate (PPM)]]&gt;0, "No evidence", IF(AllDataApr[[#This Row],[Nitrate (PPM)]]=0, "")))))</f>
        <v>Very high</v>
      </c>
      <c r="S312">
        <v>0.46</v>
      </c>
      <c r="T312" s="7" t="str">
        <f>IF(AllDataApr[[#This Row],[Phosphate (PPM)]]&gt;0.5, "Very high", IF(AllDataApr[[#This Row],[Phosphate (PPM)]]&gt;0.1, "High", IF(AllDataApr[[#This Row],[Phosphate (PPM)]]&gt;0.05, "Some evidence", IF(AllDataApr[[#This Row],[Phosphate (PPM)]]=0, ""))))</f>
        <v>High</v>
      </c>
      <c r="U312">
        <v>0</v>
      </c>
      <c r="V312" t="s">
        <v>213</v>
      </c>
    </row>
    <row r="313" spans="1:22" x14ac:dyDescent="0.3">
      <c r="A313" t="s">
        <v>620</v>
      </c>
      <c r="B313" s="2">
        <v>45303</v>
      </c>
      <c r="C313" s="2" t="str" cm="1">
        <f t="array" ref="C31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13">
        <f>YEAR(AllDataApr[[#This Row],[Date]])</f>
        <v>2024</v>
      </c>
      <c r="E313" s="1">
        <v>0.49722222222222223</v>
      </c>
      <c r="F313" s="2" t="str">
        <f>IF(AND(AllDataApr[[#This Row],[Time]]&lt;0.5, AllDataApr[[#This Row],[Time]]&gt;0.17)=TRUE, "Morning", IF(AND(AllDataApr[[#This Row],[Time]]&lt;0.75, AllDataApr[[#This Row],[Time]]&gt;=0.5)=TRUE, "Afternoon", IF(AND(AllDataApr[[#This Row],[Time]]&lt;1, AllDataApr[[#This Row],[Time]]&gt;=0.75)=TRUE, "Evening", "Night")))</f>
        <v>Morning</v>
      </c>
      <c r="G313" t="s">
        <v>59</v>
      </c>
      <c r="H313" t="str">
        <f>_xlfn.XLOOKUP(AllDataApr[[#This Row],[Location Name]], Locations[Row Labels],Locations[Group As])</f>
        <v>Preston-on-Stour River Bridge</v>
      </c>
      <c r="I313" t="str">
        <f>_xlfn.XLOOKUP(AllDataApr[[#This Row],[Site Name]],LocationsKey[Site Name],LocationsKey[Region])</f>
        <v>Stratford</v>
      </c>
      <c r="J313" t="str">
        <f>_xlfn.XLOOKUP(AllDataApr[[#This Row],[Site Name]],LocationsKey[Site Name], LocationsKey[Waterway])</f>
        <v>Stour</v>
      </c>
      <c r="K313" t="s">
        <v>78</v>
      </c>
      <c r="L313">
        <v>52.146529000000001</v>
      </c>
      <c r="M313">
        <v>-1.6994359999999999</v>
      </c>
      <c r="N313" t="s">
        <v>18</v>
      </c>
      <c r="O313">
        <v>651</v>
      </c>
      <c r="P313">
        <v>5.9</v>
      </c>
      <c r="Q313">
        <v>5</v>
      </c>
      <c r="R313" s="7" t="str">
        <f>IF(AllDataApr[[#This Row],[Nitrate (PPM)]]&gt;2, "Very high", IF(AllDataApr[[#This Row],[Nitrate (PPM)]]&gt;1, "High", IF(AllDataApr[[#This Row],[Nitrate (PPM)]]&gt;0.5, "Some evidence", IF(AllDataApr[[#This Row],[Nitrate (PPM)]]&gt;0, "No evidence", IF(AllDataApr[[#This Row],[Nitrate (PPM)]]=0, "")))))</f>
        <v>Very high</v>
      </c>
      <c r="S313">
        <v>0.15</v>
      </c>
      <c r="T313" s="7" t="str">
        <f>IF(AllDataApr[[#This Row],[Phosphate (PPM)]]&gt;0.5, "Very high", IF(AllDataApr[[#This Row],[Phosphate (PPM)]]&gt;0.1, "High", IF(AllDataApr[[#This Row],[Phosphate (PPM)]]&gt;0.05, "Some evidence", IF(AllDataApr[[#This Row],[Phosphate (PPM)]]=0, ""))))</f>
        <v>High</v>
      </c>
      <c r="U313">
        <v>1.5</v>
      </c>
      <c r="V313" t="s">
        <v>214</v>
      </c>
    </row>
    <row r="314" spans="1:22" x14ac:dyDescent="0.3">
      <c r="A314" t="s">
        <v>538</v>
      </c>
      <c r="B314" s="2">
        <v>45304</v>
      </c>
      <c r="C314" s="2" t="str" cm="1">
        <f t="array" ref="C31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14">
        <f>YEAR(AllDataApr[[#This Row],[Date]])</f>
        <v>2024</v>
      </c>
      <c r="E314" s="1">
        <v>0.41736111111111113</v>
      </c>
      <c r="F314" s="2" t="str">
        <f>IF(AND(AllDataApr[[#This Row],[Time]]&lt;0.5, AllDataApr[[#This Row],[Time]]&gt;0.17)=TRUE, "Morning", IF(AND(AllDataApr[[#This Row],[Time]]&lt;0.75, AllDataApr[[#This Row],[Time]]&gt;=0.5)=TRUE, "Afternoon", IF(AND(AllDataApr[[#This Row],[Time]]&lt;1, AllDataApr[[#This Row],[Time]]&gt;=0.75)=TRUE, "Evening", "Night")))</f>
        <v>Morning</v>
      </c>
      <c r="G314" t="s">
        <v>219</v>
      </c>
      <c r="H314" t="str">
        <f>_xlfn.XLOOKUP(AllDataApr[[#This Row],[Location Name]], Locations[Row Labels],Locations[Group As])</f>
        <v>The Ford, Langley</v>
      </c>
      <c r="I314" t="str">
        <f>_xlfn.XLOOKUP(AllDataApr[[#This Row],[Site Name]],LocationsKey[Site Name],LocationsKey[Region])</f>
        <v>Henley-in-Arden</v>
      </c>
      <c r="J314" t="str">
        <f>_xlfn.XLOOKUP(AllDataApr[[#This Row],[Site Name]],LocationsKey[Site Name], LocationsKey[Waterway])</f>
        <v>Langley Ford</v>
      </c>
      <c r="K314" t="s">
        <v>228</v>
      </c>
      <c r="L314">
        <v>52.259639</v>
      </c>
      <c r="M314">
        <v>-1.7181999999999999</v>
      </c>
      <c r="N314" t="s">
        <v>18</v>
      </c>
      <c r="O314">
        <v>687</v>
      </c>
      <c r="P314">
        <v>6</v>
      </c>
      <c r="Q314">
        <v>10</v>
      </c>
      <c r="R314" s="7" t="str">
        <f>IF(AllDataApr[[#This Row],[Nitrate (PPM)]]&gt;2, "Very high", IF(AllDataApr[[#This Row],[Nitrate (PPM)]]&gt;1, "High", IF(AllDataApr[[#This Row],[Nitrate (PPM)]]&gt;0.5, "Some evidence", IF(AllDataApr[[#This Row],[Nitrate (PPM)]]&gt;0, "No evidence", IF(AllDataApr[[#This Row],[Nitrate (PPM)]]=0, "")))))</f>
        <v>Very high</v>
      </c>
      <c r="S314">
        <v>0.15</v>
      </c>
      <c r="T314" s="7" t="str">
        <f>IF(AllDataApr[[#This Row],[Phosphate (PPM)]]&gt;0.5, "Very high", IF(AllDataApr[[#This Row],[Phosphate (PPM)]]&gt;0.1, "High", IF(AllDataApr[[#This Row],[Phosphate (PPM)]]&gt;0.05, "Some evidence", IF(AllDataApr[[#This Row],[Phosphate (PPM)]]=0, ""))))</f>
        <v>High</v>
      </c>
      <c r="U314">
        <v>0.3</v>
      </c>
      <c r="V314" t="s">
        <v>242</v>
      </c>
    </row>
    <row r="315" spans="1:22" x14ac:dyDescent="0.3">
      <c r="A315" t="s">
        <v>579</v>
      </c>
      <c r="B315" s="2">
        <v>45304</v>
      </c>
      <c r="C315" s="2" t="str" cm="1">
        <f t="array" ref="C31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15">
        <f>YEAR(AllDataApr[[#This Row],[Date]])</f>
        <v>2024</v>
      </c>
      <c r="E315" s="1">
        <v>0.47916666666666669</v>
      </c>
      <c r="F315" s="2" t="str">
        <f>IF(AND(AllDataApr[[#This Row],[Time]]&lt;0.5, AllDataApr[[#This Row],[Time]]&gt;0.17)=TRUE, "Morning", IF(AND(AllDataApr[[#This Row],[Time]]&lt;0.75, AllDataApr[[#This Row],[Time]]&gt;=0.5)=TRUE, "Afternoon", IF(AND(AllDataApr[[#This Row],[Time]]&lt;1, AllDataApr[[#This Row],[Time]]&gt;=0.75)=TRUE, "Evening", "Night")))</f>
        <v>Morning</v>
      </c>
      <c r="G315" t="s">
        <v>112</v>
      </c>
      <c r="H315" t="str">
        <f>_xlfn.XLOOKUP(AllDataApr[[#This Row],[Location Name]], Locations[Row Labels],Locations[Group As])</f>
        <v>Clifford Chambers Mill Bridge</v>
      </c>
      <c r="I315" t="str">
        <f>_xlfn.XLOOKUP(AllDataApr[[#This Row],[Site Name]],LocationsKey[Site Name],LocationsKey[Region])</f>
        <v>Stratford</v>
      </c>
      <c r="J315" t="str">
        <f>_xlfn.XLOOKUP(AllDataApr[[#This Row],[Site Name]],LocationsKey[Site Name], LocationsKey[Waterway])</f>
        <v>Stour</v>
      </c>
      <c r="K315" t="s">
        <v>119</v>
      </c>
      <c r="L315">
        <v>52.166370000000001</v>
      </c>
      <c r="M315">
        <v>-1.708032</v>
      </c>
      <c r="N315" t="s">
        <v>1047</v>
      </c>
      <c r="O315">
        <v>668</v>
      </c>
      <c r="P315">
        <v>13.2</v>
      </c>
      <c r="Q315">
        <v>4</v>
      </c>
      <c r="R315" s="7" t="str">
        <f>IF(AllDataApr[[#This Row],[Nitrate (PPM)]]&gt;2, "Very high", IF(AllDataApr[[#This Row],[Nitrate (PPM)]]&gt;1, "High", IF(AllDataApr[[#This Row],[Nitrate (PPM)]]&gt;0.5, "Some evidence", IF(AllDataApr[[#This Row],[Nitrate (PPM)]]&gt;0, "No evidence", IF(AllDataApr[[#This Row],[Nitrate (PPM)]]=0, "")))))</f>
        <v>Very high</v>
      </c>
      <c r="S315">
        <v>0.27</v>
      </c>
      <c r="T315" s="7" t="str">
        <f>IF(AllDataApr[[#This Row],[Phosphate (PPM)]]&gt;0.5, "Very high", IF(AllDataApr[[#This Row],[Phosphate (PPM)]]&gt;0.1, "High", IF(AllDataApr[[#This Row],[Phosphate (PPM)]]&gt;0.05, "Some evidence", IF(AllDataApr[[#This Row],[Phosphate (PPM)]]=0, ""))))</f>
        <v>High</v>
      </c>
      <c r="U315">
        <v>1.1000000000000001</v>
      </c>
      <c r="V315" t="s">
        <v>243</v>
      </c>
    </row>
    <row r="316" spans="1:22" x14ac:dyDescent="0.3">
      <c r="A316" t="s">
        <v>569</v>
      </c>
      <c r="B316" s="2">
        <v>45304</v>
      </c>
      <c r="C316" s="2" t="str" cm="1">
        <f t="array" ref="C31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16">
        <f>YEAR(AllDataApr[[#This Row],[Date]])</f>
        <v>2024</v>
      </c>
      <c r="E316" s="1">
        <v>0.48958333333333331</v>
      </c>
      <c r="F316" s="2" t="str">
        <f>IF(AND(AllDataApr[[#This Row],[Time]]&lt;0.5, AllDataApr[[#This Row],[Time]]&gt;0.17)=TRUE, "Morning", IF(AND(AllDataApr[[#This Row],[Time]]&lt;0.75, AllDataApr[[#This Row],[Time]]&gt;=0.5)=TRUE, "Afternoon", IF(AND(AllDataApr[[#This Row],[Time]]&lt;1, AllDataApr[[#This Row],[Time]]&gt;=0.75)=TRUE, "Evening", "Night")))</f>
        <v>Morning</v>
      </c>
      <c r="G316" t="s">
        <v>112</v>
      </c>
      <c r="H316" t="str">
        <f>_xlfn.XLOOKUP(AllDataApr[[#This Row],[Location Name]], Locations[Row Labels],Locations[Group As])</f>
        <v>Clifford Chambers Road Bridge</v>
      </c>
      <c r="I316" t="str">
        <f>_xlfn.XLOOKUP(AllDataApr[[#This Row],[Site Name]],LocationsKey[Site Name],LocationsKey[Region])</f>
        <v>Stratford</v>
      </c>
      <c r="J316" t="str">
        <f>_xlfn.XLOOKUP(AllDataApr[[#This Row],[Site Name]],LocationsKey[Site Name], LocationsKey[Waterway])</f>
        <v>Stour</v>
      </c>
      <c r="K316" t="s">
        <v>226</v>
      </c>
      <c r="L316">
        <v>52.172840000000001</v>
      </c>
      <c r="M316">
        <v>-1.71377</v>
      </c>
      <c r="N316" t="s">
        <v>1047</v>
      </c>
      <c r="O316">
        <v>666</v>
      </c>
      <c r="P316">
        <v>13.4</v>
      </c>
      <c r="Q316">
        <v>5</v>
      </c>
      <c r="R316" s="7" t="str">
        <f>IF(AllDataApr[[#This Row],[Nitrate (PPM)]]&gt;2, "Very high", IF(AllDataApr[[#This Row],[Nitrate (PPM)]]&gt;1, "High", IF(AllDataApr[[#This Row],[Nitrate (PPM)]]&gt;0.5, "Some evidence", IF(AllDataApr[[#This Row],[Nitrate (PPM)]]&gt;0, "No evidence", IF(AllDataApr[[#This Row],[Nitrate (PPM)]]=0, "")))))</f>
        <v>Very high</v>
      </c>
      <c r="S316">
        <v>0.3</v>
      </c>
      <c r="T316" s="7" t="str">
        <f>IF(AllDataApr[[#This Row],[Phosphate (PPM)]]&gt;0.5, "Very high", IF(AllDataApr[[#This Row],[Phosphate (PPM)]]&gt;0.1, "High", IF(AllDataApr[[#This Row],[Phosphate (PPM)]]&gt;0.05, "Some evidence", IF(AllDataApr[[#This Row],[Phosphate (PPM)]]=0, ""))))</f>
        <v>High</v>
      </c>
      <c r="U316">
        <v>1</v>
      </c>
    </row>
    <row r="317" spans="1:22" x14ac:dyDescent="0.3">
      <c r="A317" t="s">
        <v>604</v>
      </c>
      <c r="B317" s="2">
        <v>45304</v>
      </c>
      <c r="C317" s="2" t="str" cm="1">
        <f t="array" ref="C31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17">
        <f>YEAR(AllDataApr[[#This Row],[Date]])</f>
        <v>2024</v>
      </c>
      <c r="E317" s="1">
        <v>0.52083333333333337</v>
      </c>
      <c r="F317" s="2" t="str">
        <f>IF(AND(AllDataApr[[#This Row],[Time]]&lt;0.5, AllDataApr[[#This Row],[Time]]&gt;0.17)=TRUE, "Morning", IF(AND(AllDataApr[[#This Row],[Time]]&lt;0.75, AllDataApr[[#This Row],[Time]]&gt;=0.5)=TRUE, "Afternoon", IF(AND(AllDataApr[[#This Row],[Time]]&lt;1, AllDataApr[[#This Row],[Time]]&gt;=0.75)=TRUE, "Evening", "Night")))</f>
        <v>Afternoon</v>
      </c>
      <c r="G317" t="s">
        <v>52</v>
      </c>
      <c r="H317" t="str">
        <f>_xlfn.XLOOKUP(AllDataApr[[#This Row],[Location Name]], Locations[Row Labels],Locations[Group As])</f>
        <v>Carrant Bredon Rd</v>
      </c>
      <c r="I317" t="str">
        <f>_xlfn.XLOOKUP(AllDataApr[[#This Row],[Site Name]],LocationsKey[Site Name],LocationsKey[Region])</f>
        <v>Tewkesbury</v>
      </c>
      <c r="J317" t="str">
        <f>_xlfn.XLOOKUP(AllDataApr[[#This Row],[Site Name]],LocationsKey[Site Name], LocationsKey[Waterway])</f>
        <v>Carrant</v>
      </c>
      <c r="K317" t="s">
        <v>53</v>
      </c>
      <c r="L317">
        <v>51.996360000000003</v>
      </c>
      <c r="M317">
        <v>-2.1560489999999999</v>
      </c>
      <c r="N317" t="s">
        <v>200</v>
      </c>
      <c r="O317">
        <v>761</v>
      </c>
      <c r="P317">
        <v>7.1</v>
      </c>
      <c r="Q317">
        <v>6</v>
      </c>
      <c r="R317" s="7" t="str">
        <f>IF(AllDataApr[[#This Row],[Nitrate (PPM)]]&gt;2, "Very high", IF(AllDataApr[[#This Row],[Nitrate (PPM)]]&gt;1, "High", IF(AllDataApr[[#This Row],[Nitrate (PPM)]]&gt;0.5, "Some evidence", IF(AllDataApr[[#This Row],[Nitrate (PPM)]]&gt;0, "No evidence", IF(AllDataApr[[#This Row],[Nitrate (PPM)]]=0, "")))))</f>
        <v>Very high</v>
      </c>
      <c r="S317">
        <v>0.37</v>
      </c>
      <c r="T317" s="7" t="str">
        <f>IF(AllDataApr[[#This Row],[Phosphate (PPM)]]&gt;0.5, "Very high", IF(AllDataApr[[#This Row],[Phosphate (PPM)]]&gt;0.1, "High", IF(AllDataApr[[#This Row],[Phosphate (PPM)]]&gt;0.05, "Some evidence", IF(AllDataApr[[#This Row],[Phosphate (PPM)]]=0, ""))))</f>
        <v>High</v>
      </c>
      <c r="U317">
        <v>0.3</v>
      </c>
      <c r="V317" t="s">
        <v>215</v>
      </c>
    </row>
    <row r="318" spans="1:22" x14ac:dyDescent="0.3">
      <c r="A318" t="s">
        <v>502</v>
      </c>
      <c r="B318" s="2">
        <v>45304</v>
      </c>
      <c r="C318" s="2" t="str" cm="1">
        <f t="array" ref="C31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18">
        <f>YEAR(AllDataApr[[#This Row],[Date]])</f>
        <v>2024</v>
      </c>
      <c r="E318" s="1">
        <v>0.625</v>
      </c>
      <c r="F318" s="2" t="str">
        <f>IF(AND(AllDataApr[[#This Row],[Time]]&lt;0.5, AllDataApr[[#This Row],[Time]]&gt;0.17)=TRUE, "Morning", IF(AND(AllDataApr[[#This Row],[Time]]&lt;0.75, AllDataApr[[#This Row],[Time]]&gt;=0.5)=TRUE, "Afternoon", IF(AND(AllDataApr[[#This Row],[Time]]&lt;1, AllDataApr[[#This Row],[Time]]&gt;=0.75)=TRUE, "Evening", "Night")))</f>
        <v>Afternoon</v>
      </c>
      <c r="G318" t="s">
        <v>275</v>
      </c>
      <c r="H318" t="str">
        <f>_xlfn.XLOOKUP(AllDataApr[[#This Row],[Location Name]], Locations[Row Labels],Locations[Group As])</f>
        <v>Bell Brook 1</v>
      </c>
      <c r="I318" t="str">
        <f>_xlfn.XLOOKUP(AllDataApr[[#This Row],[Site Name]],LocationsKey[Site Name],LocationsKey[Region])</f>
        <v>Stratford</v>
      </c>
      <c r="J318" t="str">
        <f>_xlfn.XLOOKUP(AllDataApr[[#This Row],[Site Name]],LocationsKey[Site Name], LocationsKey[Waterway])</f>
        <v>Bell Brook</v>
      </c>
      <c r="K318" t="s">
        <v>279</v>
      </c>
      <c r="N318" t="s">
        <v>200</v>
      </c>
      <c r="O318">
        <v>722</v>
      </c>
      <c r="P318">
        <v>6.2</v>
      </c>
      <c r="Q318">
        <v>3</v>
      </c>
      <c r="R318" s="7" t="str">
        <f>IF(AllDataApr[[#This Row],[Nitrate (PPM)]]&gt;2, "Very high", IF(AllDataApr[[#This Row],[Nitrate (PPM)]]&gt;1, "High", IF(AllDataApr[[#This Row],[Nitrate (PPM)]]&gt;0.5, "Some evidence", IF(AllDataApr[[#This Row],[Nitrate (PPM)]]&gt;0, "No evidence", IF(AllDataApr[[#This Row],[Nitrate (PPM)]]=0, "")))))</f>
        <v>Very high</v>
      </c>
      <c r="S318">
        <v>1.33</v>
      </c>
      <c r="T318" s="7" t="str">
        <f>IF(AllDataApr[[#This Row],[Phosphate (PPM)]]&gt;0.5, "Very high", IF(AllDataApr[[#This Row],[Phosphate (PPM)]]&gt;0.1, "High", IF(AllDataApr[[#This Row],[Phosphate (PPM)]]&gt;0.05, "Some evidence", IF(AllDataApr[[#This Row],[Phosphate (PPM)]]=0, ""))))</f>
        <v>Very high</v>
      </c>
      <c r="U318">
        <v>0.5</v>
      </c>
      <c r="V318" t="s">
        <v>287</v>
      </c>
    </row>
    <row r="319" spans="1:22" x14ac:dyDescent="0.3">
      <c r="A319" s="11" t="s">
        <v>503</v>
      </c>
      <c r="B319" s="2">
        <v>45304</v>
      </c>
      <c r="C319" s="2" t="str" cm="1">
        <f t="array" ref="C31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19">
        <f>YEAR(AllDataApr[[#This Row],[Date]])</f>
        <v>2024</v>
      </c>
      <c r="E319" s="1">
        <v>0.625</v>
      </c>
      <c r="F319" s="2" t="str">
        <f>IF(AND(AllDataApr[[#This Row],[Time]]&lt;0.5, AllDataApr[[#This Row],[Time]]&gt;0.17)=TRUE, "Morning", IF(AND(AllDataApr[[#This Row],[Time]]&lt;0.75, AllDataApr[[#This Row],[Time]]&gt;=0.5)=TRUE, "Afternoon", IF(AND(AllDataApr[[#This Row],[Time]]&lt;1, AllDataApr[[#This Row],[Time]]&gt;=0.75)=TRUE, "Evening", "Night")))</f>
        <v>Afternoon</v>
      </c>
      <c r="G319" t="s">
        <v>275</v>
      </c>
      <c r="H319" t="str">
        <f>_xlfn.XLOOKUP(AllDataApr[[#This Row],[Location Name]], Locations[Row Labels],Locations[Group As])</f>
        <v>Sherbourne Brook 1</v>
      </c>
      <c r="I319" t="str">
        <f>_xlfn.XLOOKUP(AllDataApr[[#This Row],[Site Name]],LocationsKey[Site Name],LocationsKey[Region])</f>
        <v>Stratford</v>
      </c>
      <c r="J319" t="str">
        <f>_xlfn.XLOOKUP(AllDataApr[[#This Row],[Site Name]],LocationsKey[Site Name], LocationsKey[Waterway])</f>
        <v>Sherbourne Brook</v>
      </c>
      <c r="K319" t="s">
        <v>924</v>
      </c>
      <c r="N319" t="s">
        <v>42</v>
      </c>
      <c r="O319">
        <v>102</v>
      </c>
      <c r="P319">
        <v>7.4</v>
      </c>
      <c r="Q319">
        <v>10</v>
      </c>
      <c r="R319" s="7" t="str">
        <f>IF(AllDataApr[[#This Row],[Nitrate (PPM)]]&gt;2, "Very high", IF(AllDataApr[[#This Row],[Nitrate (PPM)]]&gt;1, "High", IF(AllDataApr[[#This Row],[Nitrate (PPM)]]&gt;0.5, "Some evidence", IF(AllDataApr[[#This Row],[Nitrate (PPM)]]&gt;0, "No evidence", IF(AllDataApr[[#This Row],[Nitrate (PPM)]]=0, "")))))</f>
        <v>Very high</v>
      </c>
      <c r="S319">
        <v>0.51</v>
      </c>
      <c r="T319" s="7" t="str">
        <f>IF(AllDataApr[[#This Row],[Phosphate (PPM)]]&gt;0.5, "Very high", IF(AllDataApr[[#This Row],[Phosphate (PPM)]]&gt;0.1, "High", IF(AllDataApr[[#This Row],[Phosphate (PPM)]]&gt;0.05, "Some evidence", IF(AllDataApr[[#This Row],[Phosphate (PPM)]]=0, ""))))</f>
        <v>Very high</v>
      </c>
      <c r="U319">
        <v>0.5</v>
      </c>
      <c r="V319" t="s">
        <v>286</v>
      </c>
    </row>
    <row r="320" spans="1:22" x14ac:dyDescent="0.3">
      <c r="A320" t="s">
        <v>618</v>
      </c>
      <c r="B320" s="2">
        <v>45304</v>
      </c>
      <c r="C320" s="2" t="str" cm="1">
        <f t="array" ref="C32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20">
        <f>YEAR(AllDataApr[[#This Row],[Date]])</f>
        <v>2024</v>
      </c>
      <c r="E320" s="1">
        <v>0.65347222222222223</v>
      </c>
      <c r="F320" s="2" t="str">
        <f>IF(AND(AllDataApr[[#This Row],[Time]]&lt;0.5, AllDataApr[[#This Row],[Time]]&gt;0.17)=TRUE, "Morning", IF(AND(AllDataApr[[#This Row],[Time]]&lt;0.75, AllDataApr[[#This Row],[Time]]&gt;=0.5)=TRUE, "Afternoon", IF(AND(AllDataApr[[#This Row],[Time]]&lt;1, AllDataApr[[#This Row],[Time]]&gt;=0.75)=TRUE, "Evening", "Night")))</f>
        <v>Afternoon</v>
      </c>
      <c r="G320" t="s">
        <v>11</v>
      </c>
      <c r="H320" t="str">
        <f>_xlfn.XLOOKUP(AllDataApr[[#This Row],[Location Name]], Locations[Row Labels],Locations[Group As])</f>
        <v>Abbey Mill</v>
      </c>
      <c r="I320" t="str">
        <f>_xlfn.XLOOKUP(AllDataApr[[#This Row],[Site Name]],LocationsKey[Site Name],LocationsKey[Region])</f>
        <v>Tewkesbury</v>
      </c>
      <c r="J320" t="str">
        <f>_xlfn.XLOOKUP(AllDataApr[[#This Row],[Site Name]],LocationsKey[Site Name], LocationsKey[Waterway])</f>
        <v>Avon</v>
      </c>
      <c r="K320" t="s">
        <v>12</v>
      </c>
      <c r="L320">
        <v>51.991370000000003</v>
      </c>
      <c r="M320">
        <v>-2.1625640000000002</v>
      </c>
      <c r="N320" t="s">
        <v>200</v>
      </c>
      <c r="O320">
        <v>709</v>
      </c>
      <c r="P320">
        <v>6</v>
      </c>
      <c r="Q320">
        <v>4</v>
      </c>
      <c r="R320" s="7" t="str">
        <f>IF(AllDataApr[[#This Row],[Nitrate (PPM)]]&gt;2, "Very high", IF(AllDataApr[[#This Row],[Nitrate (PPM)]]&gt;1, "High", IF(AllDataApr[[#This Row],[Nitrate (PPM)]]&gt;0.5, "Some evidence", IF(AllDataApr[[#This Row],[Nitrate (PPM)]]&gt;0, "No evidence", IF(AllDataApr[[#This Row],[Nitrate (PPM)]]=0, "")))))</f>
        <v>Very high</v>
      </c>
      <c r="S320">
        <v>0.56999999999999995</v>
      </c>
      <c r="T320" s="7" t="str">
        <f>IF(AllDataApr[[#This Row],[Phosphate (PPM)]]&gt;0.5, "Very high", IF(AllDataApr[[#This Row],[Phosphate (PPM)]]&gt;0.1, "High", IF(AllDataApr[[#This Row],[Phosphate (PPM)]]&gt;0.05, "Some evidence", IF(AllDataApr[[#This Row],[Phosphate (PPM)]]=0, ""))))</f>
        <v>Very high</v>
      </c>
      <c r="U320">
        <v>0.5</v>
      </c>
    </row>
    <row r="321" spans="1:22" x14ac:dyDescent="0.3">
      <c r="A321" t="s">
        <v>591</v>
      </c>
      <c r="B321" s="2">
        <v>45305</v>
      </c>
      <c r="C321" s="2" t="str" cm="1">
        <f t="array" ref="C32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21">
        <f>YEAR(AllDataApr[[#This Row],[Date]])</f>
        <v>2024</v>
      </c>
      <c r="E321" s="1">
        <v>0.42222222222222222</v>
      </c>
      <c r="F321" s="2" t="str">
        <f>IF(AND(AllDataApr[[#This Row],[Time]]&lt;0.5, AllDataApr[[#This Row],[Time]]&gt;0.17)=TRUE, "Morning", IF(AND(AllDataApr[[#This Row],[Time]]&lt;0.75, AllDataApr[[#This Row],[Time]]&gt;=0.5)=TRUE, "Afternoon", IF(AND(AllDataApr[[#This Row],[Time]]&lt;1, AllDataApr[[#This Row],[Time]]&gt;=0.75)=TRUE, "Evening", "Night")))</f>
        <v>Morning</v>
      </c>
      <c r="G321" t="s">
        <v>218</v>
      </c>
      <c r="H321" t="str">
        <f>_xlfn.XLOOKUP(AllDataApr[[#This Row],[Location Name]], Locations[Row Labels],Locations[Group As])</f>
        <v>Fell Mill Footbridge</v>
      </c>
      <c r="I321" t="str">
        <f>_xlfn.XLOOKUP(AllDataApr[[#This Row],[Site Name]],LocationsKey[Site Name],LocationsKey[Region])</f>
        <v>Shipston</v>
      </c>
      <c r="J321" t="str">
        <f>_xlfn.XLOOKUP(AllDataApr[[#This Row],[Site Name]],LocationsKey[Site Name], LocationsKey[Waterway])</f>
        <v>Stour</v>
      </c>
      <c r="K321" t="s">
        <v>227</v>
      </c>
      <c r="L321">
        <v>52.070131000000003</v>
      </c>
      <c r="M321">
        <v>-1.6114869999999999</v>
      </c>
      <c r="N321" t="s">
        <v>200</v>
      </c>
      <c r="O321">
        <v>504</v>
      </c>
      <c r="P321">
        <v>6.9</v>
      </c>
      <c r="Q321">
        <v>10</v>
      </c>
      <c r="R321" s="7" t="str">
        <f>IF(AllDataApr[[#This Row],[Nitrate (PPM)]]&gt;2, "Very high", IF(AllDataApr[[#This Row],[Nitrate (PPM)]]&gt;1, "High", IF(AllDataApr[[#This Row],[Nitrate (PPM)]]&gt;0.5, "Some evidence", IF(AllDataApr[[#This Row],[Nitrate (PPM)]]&gt;0, "No evidence", IF(AllDataApr[[#This Row],[Nitrate (PPM)]]=0, "")))))</f>
        <v>Very high</v>
      </c>
      <c r="S321">
        <v>0.24</v>
      </c>
      <c r="T321" s="7" t="str">
        <f>IF(AllDataApr[[#This Row],[Phosphate (PPM)]]&gt;0.5, "Very high", IF(AllDataApr[[#This Row],[Phosphate (PPM)]]&gt;0.1, "High", IF(AllDataApr[[#This Row],[Phosphate (PPM)]]&gt;0.05, "Some evidence", IF(AllDataApr[[#This Row],[Phosphate (PPM)]]=0, ""))))</f>
        <v>High</v>
      </c>
      <c r="U321">
        <v>1</v>
      </c>
    </row>
    <row r="322" spans="1:22" x14ac:dyDescent="0.3">
      <c r="A322" t="s">
        <v>608</v>
      </c>
      <c r="B322" s="2">
        <v>45305</v>
      </c>
      <c r="C322" s="2" t="str" cm="1">
        <f t="array" ref="C32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22">
        <f>YEAR(AllDataApr[[#This Row],[Date]])</f>
        <v>2024</v>
      </c>
      <c r="E322" s="1">
        <v>0.63541666666666663</v>
      </c>
      <c r="F322" s="2" t="str">
        <f>IF(AND(AllDataApr[[#This Row],[Time]]&lt;0.5, AllDataApr[[#This Row],[Time]]&gt;0.17)=TRUE, "Morning", IF(AND(AllDataApr[[#This Row],[Time]]&lt;0.75, AllDataApr[[#This Row],[Time]]&gt;=0.5)=TRUE, "Afternoon", IF(AND(AllDataApr[[#This Row],[Time]]&lt;1, AllDataApr[[#This Row],[Time]]&gt;=0.75)=TRUE, "Evening", "Night")))</f>
        <v>Afternoon</v>
      </c>
      <c r="G322" t="s">
        <v>20</v>
      </c>
      <c r="H322" t="str">
        <f>_xlfn.XLOOKUP(AllDataApr[[#This Row],[Location Name]], Locations[Row Labels],Locations[Group As])</f>
        <v>Hampton Lucy</v>
      </c>
      <c r="I322" t="str">
        <f>_xlfn.XLOOKUP(AllDataApr[[#This Row],[Site Name]],LocationsKey[Site Name],LocationsKey[Region])</f>
        <v>Stratford</v>
      </c>
      <c r="J322" t="str">
        <f>_xlfn.XLOOKUP(AllDataApr[[#This Row],[Site Name]],LocationsKey[Site Name], LocationsKey[Waterway])</f>
        <v>Avon</v>
      </c>
      <c r="K322" t="s">
        <v>27</v>
      </c>
      <c r="L322">
        <v>52.211680000000001</v>
      </c>
      <c r="M322">
        <v>-1.6244400000000001</v>
      </c>
      <c r="N322" t="s">
        <v>200</v>
      </c>
      <c r="O322">
        <v>802</v>
      </c>
      <c r="P322">
        <v>8.1</v>
      </c>
      <c r="Q322">
        <v>7</v>
      </c>
      <c r="R322" s="7" t="str">
        <f>IF(AllDataApr[[#This Row],[Nitrate (PPM)]]&gt;2, "Very high", IF(AllDataApr[[#This Row],[Nitrate (PPM)]]&gt;1, "High", IF(AllDataApr[[#This Row],[Nitrate (PPM)]]&gt;0.5, "Some evidence", IF(AllDataApr[[#This Row],[Nitrate (PPM)]]&gt;0, "No evidence", IF(AllDataApr[[#This Row],[Nitrate (PPM)]]=0, "")))))</f>
        <v>Very high</v>
      </c>
      <c r="S322">
        <v>0.4</v>
      </c>
      <c r="T322" s="7" t="str">
        <f>IF(AllDataApr[[#This Row],[Phosphate (PPM)]]&gt;0.5, "Very high", IF(AllDataApr[[#This Row],[Phosphate (PPM)]]&gt;0.1, "High", IF(AllDataApr[[#This Row],[Phosphate (PPM)]]&gt;0.05, "Some evidence", IF(AllDataApr[[#This Row],[Phosphate (PPM)]]=0, ""))))</f>
        <v>High</v>
      </c>
      <c r="U322">
        <v>0</v>
      </c>
    </row>
    <row r="323" spans="1:22" x14ac:dyDescent="0.3">
      <c r="A323" t="s">
        <v>617</v>
      </c>
      <c r="B323" s="2">
        <v>45306</v>
      </c>
      <c r="C323" s="2" t="str" cm="1">
        <f t="array" ref="C32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23">
        <f>YEAR(AllDataApr[[#This Row],[Date]])</f>
        <v>2024</v>
      </c>
      <c r="E323" s="1">
        <v>0.41111111111111109</v>
      </c>
      <c r="F323" s="2" t="str">
        <f>IF(AND(AllDataApr[[#This Row],[Time]]&lt;0.5, AllDataApr[[#This Row],[Time]]&gt;0.17)=TRUE, "Morning", IF(AND(AllDataApr[[#This Row],[Time]]&lt;0.75, AllDataApr[[#This Row],[Time]]&gt;=0.5)=TRUE, "Afternoon", IF(AND(AllDataApr[[#This Row],[Time]]&lt;1, AllDataApr[[#This Row],[Time]]&gt;=0.75)=TRUE, "Evening", "Night")))</f>
        <v>Morning</v>
      </c>
      <c r="G323" t="s">
        <v>150</v>
      </c>
      <c r="H323" t="str">
        <f>_xlfn.XLOOKUP(AllDataApr[[#This Row],[Location Name]], Locations[Row Labels],Locations[Group As])</f>
        <v>Stour Stretton-on-Fosse Village</v>
      </c>
      <c r="I323" t="str">
        <f>_xlfn.XLOOKUP(AllDataApr[[#This Row],[Site Name]],LocationsKey[Site Name],LocationsKey[Region])</f>
        <v>Shipston</v>
      </c>
      <c r="J323" t="str">
        <f>_xlfn.XLOOKUP(AllDataApr[[#This Row],[Site Name]],LocationsKey[Site Name], LocationsKey[Waterway])</f>
        <v>Stour</v>
      </c>
      <c r="K323" t="s">
        <v>198</v>
      </c>
      <c r="L323">
        <v>52.046470999999997</v>
      </c>
      <c r="M323">
        <v>-1.673462</v>
      </c>
      <c r="N323" t="s">
        <v>42</v>
      </c>
      <c r="O323">
        <v>722</v>
      </c>
      <c r="P323">
        <v>4.3</v>
      </c>
      <c r="Q323">
        <v>2</v>
      </c>
      <c r="R323" s="7" t="str">
        <f>IF(AllDataApr[[#This Row],[Nitrate (PPM)]]&gt;2, "Very high", IF(AllDataApr[[#This Row],[Nitrate (PPM)]]&gt;1, "High", IF(AllDataApr[[#This Row],[Nitrate (PPM)]]&gt;0.5, "Some evidence", IF(AllDataApr[[#This Row],[Nitrate (PPM)]]&gt;0, "No evidence", IF(AllDataApr[[#This Row],[Nitrate (PPM)]]=0, "")))))</f>
        <v>High</v>
      </c>
      <c r="S323">
        <v>1.47</v>
      </c>
      <c r="T323" s="7" t="str">
        <f>IF(AllDataApr[[#This Row],[Phosphate (PPM)]]&gt;0.5, "Very high", IF(AllDataApr[[#This Row],[Phosphate (PPM)]]&gt;0.1, "High", IF(AllDataApr[[#This Row],[Phosphate (PPM)]]&gt;0.05, "Some evidence", IF(AllDataApr[[#This Row],[Phosphate (PPM)]]=0, ""))))</f>
        <v>Very high</v>
      </c>
      <c r="U323">
        <v>0.2</v>
      </c>
    </row>
    <row r="324" spans="1:22" x14ac:dyDescent="0.3">
      <c r="A324" t="s">
        <v>616</v>
      </c>
      <c r="B324" s="2">
        <v>45306</v>
      </c>
      <c r="C324" s="2" t="str" cm="1">
        <f t="array" ref="C32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24">
        <f>YEAR(AllDataApr[[#This Row],[Date]])</f>
        <v>2024</v>
      </c>
      <c r="E324" s="1">
        <v>0.41736111111111113</v>
      </c>
      <c r="F324" s="2" t="str">
        <f>IF(AND(AllDataApr[[#This Row],[Time]]&lt;0.5, AllDataApr[[#This Row],[Time]]&gt;0.17)=TRUE, "Morning", IF(AND(AllDataApr[[#This Row],[Time]]&lt;0.75, AllDataApr[[#This Row],[Time]]&gt;=0.5)=TRUE, "Afternoon", IF(AND(AllDataApr[[#This Row],[Time]]&lt;1, AllDataApr[[#This Row],[Time]]&gt;=0.75)=TRUE, "Evening", "Night")))</f>
        <v>Morning</v>
      </c>
      <c r="G324" t="s">
        <v>150</v>
      </c>
      <c r="H324" t="str">
        <f>_xlfn.XLOOKUP(AllDataApr[[#This Row],[Location Name]], Locations[Row Labels],Locations[Group As])</f>
        <v>Stour Stretton-on-Fosse Sewage Works</v>
      </c>
      <c r="I324" t="str">
        <f>_xlfn.XLOOKUP(AllDataApr[[#This Row],[Site Name]],LocationsKey[Site Name],LocationsKey[Region])</f>
        <v>Shipston</v>
      </c>
      <c r="J324" t="str">
        <f>_xlfn.XLOOKUP(AllDataApr[[#This Row],[Site Name]],LocationsKey[Site Name], LocationsKey[Waterway])</f>
        <v>Stour</v>
      </c>
      <c r="K324" t="s">
        <v>151</v>
      </c>
      <c r="L324">
        <v>52.045656999999999</v>
      </c>
      <c r="M324">
        <v>-1.6719440000000001</v>
      </c>
      <c r="N324" t="s">
        <v>18</v>
      </c>
      <c r="O324">
        <v>760</v>
      </c>
      <c r="P324">
        <v>3.5</v>
      </c>
      <c r="Q324">
        <v>3</v>
      </c>
      <c r="R324" s="7" t="str">
        <f>IF(AllDataApr[[#This Row],[Nitrate (PPM)]]&gt;2, "Very high", IF(AllDataApr[[#This Row],[Nitrate (PPM)]]&gt;1, "High", IF(AllDataApr[[#This Row],[Nitrate (PPM)]]&gt;0.5, "Some evidence", IF(AllDataApr[[#This Row],[Nitrate (PPM)]]&gt;0, "No evidence", IF(AllDataApr[[#This Row],[Nitrate (PPM)]]=0, "")))))</f>
        <v>Very high</v>
      </c>
      <c r="S324">
        <v>2.5</v>
      </c>
      <c r="T324" s="7" t="str">
        <f>IF(AllDataApr[[#This Row],[Phosphate (PPM)]]&gt;0.5, "Very high", IF(AllDataApr[[#This Row],[Phosphate (PPM)]]&gt;0.1, "High", IF(AllDataApr[[#This Row],[Phosphate (PPM)]]&gt;0.05, "Some evidence", IF(AllDataApr[[#This Row],[Phosphate (PPM)]]=0, ""))))</f>
        <v>Very high</v>
      </c>
      <c r="U324">
        <v>0.25</v>
      </c>
      <c r="V324" t="s">
        <v>1009</v>
      </c>
    </row>
    <row r="325" spans="1:22" x14ac:dyDescent="0.3">
      <c r="A325" t="s">
        <v>615</v>
      </c>
      <c r="B325" s="2">
        <v>45307</v>
      </c>
      <c r="C325" s="2" t="str" cm="1">
        <f t="array" ref="C32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25">
        <f>YEAR(AllDataApr[[#This Row],[Date]])</f>
        <v>2024</v>
      </c>
      <c r="E325" s="1">
        <v>0.3923611111111111</v>
      </c>
      <c r="F325" s="2" t="str">
        <f>IF(AND(AllDataApr[[#This Row],[Time]]&lt;0.5, AllDataApr[[#This Row],[Time]]&gt;0.17)=TRUE, "Morning", IF(AND(AllDataApr[[#This Row],[Time]]&lt;0.75, AllDataApr[[#This Row],[Time]]&gt;=0.5)=TRUE, "Afternoon", IF(AND(AllDataApr[[#This Row],[Time]]&lt;1, AllDataApr[[#This Row],[Time]]&gt;=0.75)=TRUE, "Evening", "Night")))</f>
        <v>Morning</v>
      </c>
      <c r="G325" t="s">
        <v>156</v>
      </c>
      <c r="H325" t="str">
        <f>_xlfn.XLOOKUP(AllDataApr[[#This Row],[Location Name]], Locations[Row Labels],Locations[Group As])</f>
        <v>Swiffen Bank</v>
      </c>
      <c r="I325" t="str">
        <f>_xlfn.XLOOKUP(AllDataApr[[#This Row],[Site Name]],LocationsKey[Site Name],LocationsKey[Region])</f>
        <v>Stratford</v>
      </c>
      <c r="J325" t="str">
        <f>_xlfn.XLOOKUP(AllDataApr[[#This Row],[Site Name]],LocationsKey[Site Name], LocationsKey[Waterway])</f>
        <v>Avon</v>
      </c>
      <c r="K325" t="s">
        <v>130</v>
      </c>
      <c r="L325">
        <v>52.206477999999997</v>
      </c>
      <c r="M325">
        <v>-1.653894</v>
      </c>
      <c r="N325" t="s">
        <v>18</v>
      </c>
      <c r="O325">
        <v>811</v>
      </c>
      <c r="P325">
        <v>6.8</v>
      </c>
      <c r="Q325">
        <v>5</v>
      </c>
      <c r="R325" s="7" t="str">
        <f>IF(AllDataApr[[#This Row],[Nitrate (PPM)]]&gt;2, "Very high", IF(AllDataApr[[#This Row],[Nitrate (PPM)]]&gt;1, "High", IF(AllDataApr[[#This Row],[Nitrate (PPM)]]&gt;0.5, "Some evidence", IF(AllDataApr[[#This Row],[Nitrate (PPM)]]&gt;0, "No evidence", IF(AllDataApr[[#This Row],[Nitrate (PPM)]]=0, "")))))</f>
        <v>Very high</v>
      </c>
      <c r="S325">
        <v>0.5</v>
      </c>
      <c r="T325" s="7" t="str">
        <f>IF(AllDataApr[[#This Row],[Phosphate (PPM)]]&gt;0.5, "Very high", IF(AllDataApr[[#This Row],[Phosphate (PPM)]]&gt;0.1, "High", IF(AllDataApr[[#This Row],[Phosphate (PPM)]]&gt;0.05, "Some evidence", IF(AllDataApr[[#This Row],[Phosphate (PPM)]]=0, ""))))</f>
        <v>High</v>
      </c>
      <c r="U325">
        <v>0</v>
      </c>
    </row>
    <row r="326" spans="1:22" x14ac:dyDescent="0.3">
      <c r="A326" t="s">
        <v>614</v>
      </c>
      <c r="B326" s="2">
        <v>45307</v>
      </c>
      <c r="C326" s="2" t="str" cm="1">
        <f t="array" ref="C32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26">
        <f>YEAR(AllDataApr[[#This Row],[Date]])</f>
        <v>2024</v>
      </c>
      <c r="E326" s="1">
        <v>0.39583333333333331</v>
      </c>
      <c r="F326" s="2" t="str">
        <f>IF(AND(AllDataApr[[#This Row],[Time]]&lt;0.5, AllDataApr[[#This Row],[Time]]&gt;0.17)=TRUE, "Morning", IF(AND(AllDataApr[[#This Row],[Time]]&lt;0.75, AllDataApr[[#This Row],[Time]]&gt;=0.5)=TRUE, "Afternoon", IF(AND(AllDataApr[[#This Row],[Time]]&lt;1, AllDataApr[[#This Row],[Time]]&gt;=0.75)=TRUE, "Evening", "Night")))</f>
        <v>Morning</v>
      </c>
      <c r="G326" t="s">
        <v>156</v>
      </c>
      <c r="H326" t="str">
        <f>_xlfn.XLOOKUP(AllDataApr[[#This Row],[Location Name]], Locations[Row Labels],Locations[Group As])</f>
        <v>Alveston Weir</v>
      </c>
      <c r="I326" t="str">
        <f>_xlfn.XLOOKUP(AllDataApr[[#This Row],[Site Name]],LocationsKey[Site Name],LocationsKey[Region])</f>
        <v>Stratford</v>
      </c>
      <c r="J326" t="str">
        <f>_xlfn.XLOOKUP(AllDataApr[[#This Row],[Site Name]],LocationsKey[Site Name], LocationsKey[Waterway])</f>
        <v>Avon</v>
      </c>
      <c r="K326" t="s">
        <v>128</v>
      </c>
      <c r="L326">
        <v>52.212288999999998</v>
      </c>
      <c r="M326">
        <v>-1.660452</v>
      </c>
      <c r="N326" t="s">
        <v>18</v>
      </c>
      <c r="O326">
        <v>765</v>
      </c>
      <c r="P326">
        <v>5.7</v>
      </c>
      <c r="Q326">
        <v>5</v>
      </c>
      <c r="R326" s="7" t="str">
        <f>IF(AllDataApr[[#This Row],[Nitrate (PPM)]]&gt;2, "Very high", IF(AllDataApr[[#This Row],[Nitrate (PPM)]]&gt;1, "High", IF(AllDataApr[[#This Row],[Nitrate (PPM)]]&gt;0.5, "Some evidence", IF(AllDataApr[[#This Row],[Nitrate (PPM)]]&gt;0, "No evidence", IF(AllDataApr[[#This Row],[Nitrate (PPM)]]=0, "")))))</f>
        <v>Very high</v>
      </c>
      <c r="S326">
        <v>0.49</v>
      </c>
      <c r="T326" s="7" t="str">
        <f>IF(AllDataApr[[#This Row],[Phosphate (PPM)]]&gt;0.5, "Very high", IF(AllDataApr[[#This Row],[Phosphate (PPM)]]&gt;0.1, "High", IF(AllDataApr[[#This Row],[Phosphate (PPM)]]&gt;0.05, "Some evidence", IF(AllDataApr[[#This Row],[Phosphate (PPM)]]=0, ""))))</f>
        <v>High</v>
      </c>
      <c r="U326">
        <v>-1</v>
      </c>
    </row>
    <row r="327" spans="1:22" x14ac:dyDescent="0.3">
      <c r="A327" t="s">
        <v>552</v>
      </c>
      <c r="B327" s="2">
        <v>45309</v>
      </c>
      <c r="C327" s="2" t="str" cm="1">
        <f t="array" ref="C32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27">
        <f>YEAR(AllDataApr[[#This Row],[Date]])</f>
        <v>2024</v>
      </c>
      <c r="E327" s="1">
        <v>0.46111111111111114</v>
      </c>
      <c r="F327" s="2" t="str">
        <f>IF(AND(AllDataApr[[#This Row],[Time]]&lt;0.5, AllDataApr[[#This Row],[Time]]&gt;0.17)=TRUE, "Morning", IF(AND(AllDataApr[[#This Row],[Time]]&lt;0.75, AllDataApr[[#This Row],[Time]]&gt;=0.5)=TRUE, "Afternoon", IF(AND(AllDataApr[[#This Row],[Time]]&lt;1, AllDataApr[[#This Row],[Time]]&gt;=0.75)=TRUE, "Evening", "Night")))</f>
        <v>Morning</v>
      </c>
      <c r="G327" t="s">
        <v>220</v>
      </c>
      <c r="H327" t="str">
        <f>_xlfn.XLOOKUP(AllDataApr[[#This Row],[Location Name]], Locations[Row Labels],Locations[Group As])</f>
        <v>Stour Willington</v>
      </c>
      <c r="I327" t="str">
        <f>_xlfn.XLOOKUP(AllDataApr[[#This Row],[Site Name]],LocationsKey[Site Name],LocationsKey[Region])</f>
        <v>Shipston</v>
      </c>
      <c r="J327" t="str">
        <f>_xlfn.XLOOKUP(AllDataApr[[#This Row],[Site Name]],LocationsKey[Site Name], LocationsKey[Waterway])</f>
        <v>Stour</v>
      </c>
      <c r="K327" t="s">
        <v>197</v>
      </c>
      <c r="L327">
        <v>52.051000000000002</v>
      </c>
      <c r="M327">
        <v>-1.6140000000000001</v>
      </c>
      <c r="O327">
        <v>614</v>
      </c>
      <c r="P327">
        <v>5.4</v>
      </c>
      <c r="Q327">
        <v>2</v>
      </c>
      <c r="R327" s="7" t="str">
        <f>IF(AllDataApr[[#This Row],[Nitrate (PPM)]]&gt;2, "Very high", IF(AllDataApr[[#This Row],[Nitrate (PPM)]]&gt;1, "High", IF(AllDataApr[[#This Row],[Nitrate (PPM)]]&gt;0.5, "Some evidence", IF(AllDataApr[[#This Row],[Nitrate (PPM)]]&gt;0, "No evidence", IF(AllDataApr[[#This Row],[Nitrate (PPM)]]=0, "")))))</f>
        <v>High</v>
      </c>
      <c r="S327">
        <v>0.16</v>
      </c>
      <c r="T327" s="7" t="str">
        <f>IF(AllDataApr[[#This Row],[Phosphate (PPM)]]&gt;0.5, "Very high", IF(AllDataApr[[#This Row],[Phosphate (PPM)]]&gt;0.1, "High", IF(AllDataApr[[#This Row],[Phosphate (PPM)]]&gt;0.05, "Some evidence", IF(AllDataApr[[#This Row],[Phosphate (PPM)]]=0, ""))))</f>
        <v>High</v>
      </c>
      <c r="U327">
        <v>0.5</v>
      </c>
    </row>
    <row r="328" spans="1:22" x14ac:dyDescent="0.3">
      <c r="A328" t="s">
        <v>598</v>
      </c>
      <c r="B328" s="2">
        <v>45309</v>
      </c>
      <c r="C328" s="2" t="str" cm="1">
        <f t="array" ref="C32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28">
        <f>YEAR(AllDataApr[[#This Row],[Date]])</f>
        <v>2024</v>
      </c>
      <c r="E328" s="1">
        <v>0.625</v>
      </c>
      <c r="F328" s="2" t="str">
        <f>IF(AND(AllDataApr[[#This Row],[Time]]&lt;0.5, AllDataApr[[#This Row],[Time]]&gt;0.17)=TRUE, "Morning", IF(AND(AllDataApr[[#This Row],[Time]]&lt;0.75, AllDataApr[[#This Row],[Time]]&gt;=0.5)=TRUE, "Afternoon", IF(AND(AllDataApr[[#This Row],[Time]]&lt;1, AllDataApr[[#This Row],[Time]]&gt;=0.75)=TRUE, "Evening", "Night")))</f>
        <v>Afternoon</v>
      </c>
      <c r="G328" t="s">
        <v>57</v>
      </c>
      <c r="H328" t="str">
        <f>_xlfn.XLOOKUP(AllDataApr[[#This Row],[Location Name]], Locations[Row Labels],Locations[Group As])</f>
        <v>Stour Newbold Mill</v>
      </c>
      <c r="I328" t="str">
        <f>_xlfn.XLOOKUP(AllDataApr[[#This Row],[Site Name]],LocationsKey[Site Name],LocationsKey[Region])</f>
        <v>Shipston</v>
      </c>
      <c r="J328" t="str">
        <f>_xlfn.XLOOKUP(AllDataApr[[#This Row],[Site Name]],LocationsKey[Site Name], LocationsKey[Waterway])</f>
        <v>Stour</v>
      </c>
      <c r="K328" t="s">
        <v>66</v>
      </c>
      <c r="L328">
        <v>52.112881999999999</v>
      </c>
      <c r="M328">
        <v>-1.6335120000000001</v>
      </c>
      <c r="N328" t="s">
        <v>18</v>
      </c>
      <c r="O328">
        <v>610</v>
      </c>
      <c r="P328">
        <v>7.2</v>
      </c>
      <c r="Q328">
        <v>5</v>
      </c>
      <c r="R328" s="7" t="str">
        <f>IF(AllDataApr[[#This Row],[Nitrate (PPM)]]&gt;2, "Very high", IF(AllDataApr[[#This Row],[Nitrate (PPM)]]&gt;1, "High", IF(AllDataApr[[#This Row],[Nitrate (PPM)]]&gt;0.5, "Some evidence", IF(AllDataApr[[#This Row],[Nitrate (PPM)]]&gt;0, "No evidence", IF(AllDataApr[[#This Row],[Nitrate (PPM)]]=0, "")))))</f>
        <v>Very high</v>
      </c>
      <c r="S328">
        <v>0.35</v>
      </c>
      <c r="T328" s="7" t="str">
        <f>IF(AllDataApr[[#This Row],[Phosphate (PPM)]]&gt;0.5, "Very high", IF(AllDataApr[[#This Row],[Phosphate (PPM)]]&gt;0.1, "High", IF(AllDataApr[[#This Row],[Phosphate (PPM)]]&gt;0.05, "Some evidence", IF(AllDataApr[[#This Row],[Phosphate (PPM)]]=0, ""))))</f>
        <v>High</v>
      </c>
      <c r="U328">
        <v>2.5</v>
      </c>
      <c r="V328" t="s">
        <v>244</v>
      </c>
    </row>
    <row r="329" spans="1:22" x14ac:dyDescent="0.3">
      <c r="A329" t="s">
        <v>602</v>
      </c>
      <c r="B329" s="2">
        <v>45310</v>
      </c>
      <c r="C329" s="2" t="str" cm="1">
        <f t="array" ref="C32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29">
        <f>YEAR(AllDataApr[[#This Row],[Date]])</f>
        <v>2024</v>
      </c>
      <c r="E329" s="1">
        <v>0.41666666666666669</v>
      </c>
      <c r="F329" s="2" t="str">
        <f>IF(AND(AllDataApr[[#This Row],[Time]]&lt;0.5, AllDataApr[[#This Row],[Time]]&gt;0.17)=TRUE, "Morning", IF(AND(AllDataApr[[#This Row],[Time]]&lt;0.75, AllDataApr[[#This Row],[Time]]&gt;=0.5)=TRUE, "Afternoon", IF(AND(AllDataApr[[#This Row],[Time]]&lt;1, AllDataApr[[#This Row],[Time]]&gt;=0.75)=TRUE, "Evening", "Night")))</f>
        <v>Morning</v>
      </c>
      <c r="G329" t="s">
        <v>11</v>
      </c>
      <c r="H329" t="str">
        <f>_xlfn.XLOOKUP(AllDataApr[[#This Row],[Location Name]], Locations[Row Labels],Locations[Group As])</f>
        <v>Abbey Mill</v>
      </c>
      <c r="I329" t="str">
        <f>_xlfn.XLOOKUP(AllDataApr[[#This Row],[Site Name]],LocationsKey[Site Name],LocationsKey[Region])</f>
        <v>Tewkesbury</v>
      </c>
      <c r="J329" t="str">
        <f>_xlfn.XLOOKUP(AllDataApr[[#This Row],[Site Name]],LocationsKey[Site Name], LocationsKey[Waterway])</f>
        <v>Avon</v>
      </c>
      <c r="K329" t="s">
        <v>12</v>
      </c>
      <c r="N329" t="s">
        <v>200</v>
      </c>
      <c r="O329">
        <v>890</v>
      </c>
      <c r="P329">
        <v>6</v>
      </c>
      <c r="Q329">
        <v>4</v>
      </c>
      <c r="R329" s="7" t="str">
        <f>IF(AllDataApr[[#This Row],[Nitrate (PPM)]]&gt;2, "Very high", IF(AllDataApr[[#This Row],[Nitrate (PPM)]]&gt;1, "High", IF(AllDataApr[[#This Row],[Nitrate (PPM)]]&gt;0.5, "Some evidence", IF(AllDataApr[[#This Row],[Nitrate (PPM)]]&gt;0, "No evidence", IF(AllDataApr[[#This Row],[Nitrate (PPM)]]=0, "")))))</f>
        <v>Very high</v>
      </c>
      <c r="S329">
        <v>0.7</v>
      </c>
      <c r="T329" s="7" t="str">
        <f>IF(AllDataApr[[#This Row],[Phosphate (PPM)]]&gt;0.5, "Very high", IF(AllDataApr[[#This Row],[Phosphate (PPM)]]&gt;0.1, "High", IF(AllDataApr[[#This Row],[Phosphate (PPM)]]&gt;0.05, "Some evidence", IF(AllDataApr[[#This Row],[Phosphate (PPM)]]=0, ""))))</f>
        <v>Very high</v>
      </c>
      <c r="U329">
        <v>0</v>
      </c>
    </row>
    <row r="330" spans="1:22" x14ac:dyDescent="0.3">
      <c r="A330" t="s">
        <v>600</v>
      </c>
      <c r="B330" s="2">
        <v>45310</v>
      </c>
      <c r="C330" s="2" t="str" cm="1">
        <f t="array" ref="C33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30">
        <f>YEAR(AllDataApr[[#This Row],[Date]])</f>
        <v>2024</v>
      </c>
      <c r="E330" s="1">
        <v>0.45833333333333331</v>
      </c>
      <c r="F330" s="2" t="str">
        <f>IF(AND(AllDataApr[[#This Row],[Time]]&lt;0.5, AllDataApr[[#This Row],[Time]]&gt;0.17)=TRUE, "Morning", IF(AND(AllDataApr[[#This Row],[Time]]&lt;0.75, AllDataApr[[#This Row],[Time]]&gt;=0.5)=TRUE, "Afternoon", IF(AND(AllDataApr[[#This Row],[Time]]&lt;1, AllDataApr[[#This Row],[Time]]&gt;=0.75)=TRUE, "Evening", "Night")))</f>
        <v>Morning</v>
      </c>
      <c r="G330" t="s">
        <v>46</v>
      </c>
      <c r="H330" t="str">
        <f>_xlfn.XLOOKUP(AllDataApr[[#This Row],[Location Name]], Locations[Row Labels],Locations[Group As])</f>
        <v>Swilgate</v>
      </c>
      <c r="I330" t="str">
        <f>_xlfn.XLOOKUP(AllDataApr[[#This Row],[Site Name]],LocationsKey[Site Name],LocationsKey[Region])</f>
        <v>Tewkesbury</v>
      </c>
      <c r="J330" t="str">
        <f>_xlfn.XLOOKUP(AllDataApr[[#This Row],[Site Name]],LocationsKey[Site Name], LocationsKey[Waterway])</f>
        <v>Swilgate</v>
      </c>
      <c r="K330" t="s">
        <v>47</v>
      </c>
      <c r="N330" t="s">
        <v>200</v>
      </c>
      <c r="O330">
        <v>846</v>
      </c>
      <c r="P330">
        <v>2.6</v>
      </c>
      <c r="Q330">
        <v>3</v>
      </c>
      <c r="R330" s="7" t="str">
        <f>IF(AllDataApr[[#This Row],[Nitrate (PPM)]]&gt;2, "Very high", IF(AllDataApr[[#This Row],[Nitrate (PPM)]]&gt;1, "High", IF(AllDataApr[[#This Row],[Nitrate (PPM)]]&gt;0.5, "Some evidence", IF(AllDataApr[[#This Row],[Nitrate (PPM)]]&gt;0, "No evidence", IF(AllDataApr[[#This Row],[Nitrate (PPM)]]=0, "")))))</f>
        <v>Very high</v>
      </c>
      <c r="S330">
        <v>0.41</v>
      </c>
      <c r="T330" s="7" t="str">
        <f>IF(AllDataApr[[#This Row],[Phosphate (PPM)]]&gt;0.5, "Very high", IF(AllDataApr[[#This Row],[Phosphate (PPM)]]&gt;0.1, "High", IF(AllDataApr[[#This Row],[Phosphate (PPM)]]&gt;0.05, "Some evidence", IF(AllDataApr[[#This Row],[Phosphate (PPM)]]=0, ""))))</f>
        <v>High</v>
      </c>
      <c r="U330">
        <v>0</v>
      </c>
    </row>
    <row r="331" spans="1:22" x14ac:dyDescent="0.3">
      <c r="A331" t="s">
        <v>601</v>
      </c>
      <c r="B331" s="2">
        <v>45310</v>
      </c>
      <c r="C331" s="2" t="str" cm="1">
        <f t="array" ref="C33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31">
        <f>YEAR(AllDataApr[[#This Row],[Date]])</f>
        <v>2024</v>
      </c>
      <c r="E331" s="1">
        <v>0.57986111111111116</v>
      </c>
      <c r="F331" s="2" t="str">
        <f>IF(AND(AllDataApr[[#This Row],[Time]]&lt;0.5, AllDataApr[[#This Row],[Time]]&gt;0.17)=TRUE, "Morning", IF(AND(AllDataApr[[#This Row],[Time]]&lt;0.75, AllDataApr[[#This Row],[Time]]&gt;=0.5)=TRUE, "Afternoon", IF(AND(AllDataApr[[#This Row],[Time]]&lt;1, AllDataApr[[#This Row],[Time]]&gt;=0.75)=TRUE, "Evening", "Night")))</f>
        <v>Afternoon</v>
      </c>
      <c r="G331" t="s">
        <v>221</v>
      </c>
      <c r="H331" t="str">
        <f>_xlfn.XLOOKUP(AllDataApr[[#This Row],[Location Name]], Locations[Row Labels],Locations[Group As])</f>
        <v>Lower Lode</v>
      </c>
      <c r="I331" t="str">
        <f>_xlfn.XLOOKUP(AllDataApr[[#This Row],[Site Name]],LocationsKey[Site Name],LocationsKey[Region])</f>
        <v>Tewkesbury</v>
      </c>
      <c r="J331" t="str">
        <f>_xlfn.XLOOKUP(AllDataApr[[#This Row],[Site Name]],LocationsKey[Site Name], LocationsKey[Waterway])</f>
        <v>Avon</v>
      </c>
      <c r="K331" t="s">
        <v>229</v>
      </c>
      <c r="L331">
        <v>51.984904999999998</v>
      </c>
      <c r="M331">
        <v>-2.1742240000000002</v>
      </c>
      <c r="N331" t="s">
        <v>18</v>
      </c>
      <c r="O331">
        <v>867</v>
      </c>
      <c r="P331">
        <v>5.7</v>
      </c>
      <c r="Q331">
        <v>10</v>
      </c>
      <c r="R331" s="7" t="str">
        <f>IF(AllDataApr[[#This Row],[Nitrate (PPM)]]&gt;2, "Very high", IF(AllDataApr[[#This Row],[Nitrate (PPM)]]&gt;1, "High", IF(AllDataApr[[#This Row],[Nitrate (PPM)]]&gt;0.5, "Some evidence", IF(AllDataApr[[#This Row],[Nitrate (PPM)]]&gt;0, "No evidence", IF(AllDataApr[[#This Row],[Nitrate (PPM)]]=0, "")))))</f>
        <v>Very high</v>
      </c>
      <c r="S331">
        <v>0.5</v>
      </c>
      <c r="T331" s="7" t="str">
        <f>IF(AllDataApr[[#This Row],[Phosphate (PPM)]]&gt;0.5, "Very high", IF(AllDataApr[[#This Row],[Phosphate (PPM)]]&gt;0.1, "High", IF(AllDataApr[[#This Row],[Phosphate (PPM)]]&gt;0.05, "Some evidence", IF(AllDataApr[[#This Row],[Phosphate (PPM)]]=0, ""))))</f>
        <v>High</v>
      </c>
      <c r="U331">
        <v>0</v>
      </c>
    </row>
    <row r="332" spans="1:22" x14ac:dyDescent="0.3">
      <c r="A332" t="s">
        <v>537</v>
      </c>
      <c r="B332" s="2">
        <v>45311</v>
      </c>
      <c r="C332" s="2" t="str" cm="1">
        <f t="array" ref="C33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32">
        <f>YEAR(AllDataApr[[#This Row],[Date]])</f>
        <v>2024</v>
      </c>
      <c r="E332" s="1">
        <v>0.40694444444444444</v>
      </c>
      <c r="F332" s="2" t="str">
        <f>IF(AND(AllDataApr[[#This Row],[Time]]&lt;0.5, AllDataApr[[#This Row],[Time]]&gt;0.17)=TRUE, "Morning", IF(AND(AllDataApr[[#This Row],[Time]]&lt;0.75, AllDataApr[[#This Row],[Time]]&gt;=0.5)=TRUE, "Afternoon", IF(AND(AllDataApr[[#This Row],[Time]]&lt;1, AllDataApr[[#This Row],[Time]]&gt;=0.75)=TRUE, "Evening", "Night")))</f>
        <v>Morning</v>
      </c>
      <c r="G332" t="s">
        <v>219</v>
      </c>
      <c r="H332" t="str">
        <f>_xlfn.XLOOKUP(AllDataApr[[#This Row],[Location Name]], Locations[Row Labels],Locations[Group As])</f>
        <v>The Ford, Langley</v>
      </c>
      <c r="I332" t="str">
        <f>_xlfn.XLOOKUP(AllDataApr[[#This Row],[Site Name]],LocationsKey[Site Name],LocationsKey[Region])</f>
        <v>Henley-in-Arden</v>
      </c>
      <c r="J332" t="str">
        <f>_xlfn.XLOOKUP(AllDataApr[[#This Row],[Site Name]],LocationsKey[Site Name], LocationsKey[Waterway])</f>
        <v>Langley Ford</v>
      </c>
      <c r="K332" t="s">
        <v>230</v>
      </c>
      <c r="L332">
        <v>52.259639</v>
      </c>
      <c r="M332">
        <v>-1.7181999999999999</v>
      </c>
      <c r="N332" t="s">
        <v>18</v>
      </c>
      <c r="O332">
        <v>742</v>
      </c>
      <c r="P332">
        <v>5.0999999999999996</v>
      </c>
      <c r="Q332">
        <v>5</v>
      </c>
      <c r="R332" s="7" t="str">
        <f>IF(AllDataApr[[#This Row],[Nitrate (PPM)]]&gt;2, "Very high", IF(AllDataApr[[#This Row],[Nitrate (PPM)]]&gt;1, "High", IF(AllDataApr[[#This Row],[Nitrate (PPM)]]&gt;0.5, "Some evidence", IF(AllDataApr[[#This Row],[Nitrate (PPM)]]&gt;0, "No evidence", IF(AllDataApr[[#This Row],[Nitrate (PPM)]]=0, "")))))</f>
        <v>Very high</v>
      </c>
      <c r="S332">
        <v>0.59</v>
      </c>
      <c r="T332" s="7" t="str">
        <f>IF(AllDataApr[[#This Row],[Phosphate (PPM)]]&gt;0.5, "Very high", IF(AllDataApr[[#This Row],[Phosphate (PPM)]]&gt;0.1, "High", IF(AllDataApr[[#This Row],[Phosphate (PPM)]]&gt;0.05, "Some evidence", IF(AllDataApr[[#This Row],[Phosphate (PPM)]]=0, ""))))</f>
        <v>Very high</v>
      </c>
      <c r="U332">
        <v>0.28000000000000003</v>
      </c>
      <c r="V332" t="s">
        <v>245</v>
      </c>
    </row>
    <row r="333" spans="1:22" x14ac:dyDescent="0.3">
      <c r="A333" t="s">
        <v>578</v>
      </c>
      <c r="B333" s="2">
        <v>45311</v>
      </c>
      <c r="C333" s="2" t="str" cm="1">
        <f t="array" ref="C33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33">
        <f>YEAR(AllDataApr[[#This Row],[Date]])</f>
        <v>2024</v>
      </c>
      <c r="E333" s="1">
        <v>0.47916666666666669</v>
      </c>
      <c r="F333" s="2" t="str">
        <f>IF(AND(AllDataApr[[#This Row],[Time]]&lt;0.5, AllDataApr[[#This Row],[Time]]&gt;0.17)=TRUE, "Morning", IF(AND(AllDataApr[[#This Row],[Time]]&lt;0.75, AllDataApr[[#This Row],[Time]]&gt;=0.5)=TRUE, "Afternoon", IF(AND(AllDataApr[[#This Row],[Time]]&lt;1, AllDataApr[[#This Row],[Time]]&gt;=0.75)=TRUE, "Evening", "Night")))</f>
        <v>Morning</v>
      </c>
      <c r="G333" t="s">
        <v>112</v>
      </c>
      <c r="H333" t="str">
        <f>_xlfn.XLOOKUP(AllDataApr[[#This Row],[Location Name]], Locations[Row Labels],Locations[Group As])</f>
        <v>Clifford Chambers Mill Bridge</v>
      </c>
      <c r="I333" t="str">
        <f>_xlfn.XLOOKUP(AllDataApr[[#This Row],[Site Name]],LocationsKey[Site Name],LocationsKey[Region])</f>
        <v>Stratford</v>
      </c>
      <c r="J333" t="str">
        <f>_xlfn.XLOOKUP(AllDataApr[[#This Row],[Site Name]],LocationsKey[Site Name], LocationsKey[Waterway])</f>
        <v>Stour</v>
      </c>
      <c r="K333" t="s">
        <v>119</v>
      </c>
      <c r="L333">
        <v>52.166370000000001</v>
      </c>
      <c r="M333">
        <v>-1.708032</v>
      </c>
      <c r="N333" t="s">
        <v>1047</v>
      </c>
      <c r="O333">
        <v>671</v>
      </c>
      <c r="P333">
        <v>10.199999999999999</v>
      </c>
      <c r="Q333">
        <v>7</v>
      </c>
      <c r="R333" s="7" t="str">
        <f>IF(AllDataApr[[#This Row],[Nitrate (PPM)]]&gt;2, "Very high", IF(AllDataApr[[#This Row],[Nitrate (PPM)]]&gt;1, "High", IF(AllDataApr[[#This Row],[Nitrate (PPM)]]&gt;0.5, "Some evidence", IF(AllDataApr[[#This Row],[Nitrate (PPM)]]&gt;0, "No evidence", IF(AllDataApr[[#This Row],[Nitrate (PPM)]]=0, "")))))</f>
        <v>Very high</v>
      </c>
      <c r="S333">
        <v>0.24</v>
      </c>
      <c r="T333" s="7" t="str">
        <f>IF(AllDataApr[[#This Row],[Phosphate (PPM)]]&gt;0.5, "Very high", IF(AllDataApr[[#This Row],[Phosphate (PPM)]]&gt;0.1, "High", IF(AllDataApr[[#This Row],[Phosphate (PPM)]]&gt;0.05, "Some evidence", IF(AllDataApr[[#This Row],[Phosphate (PPM)]]=0, ""))))</f>
        <v>High</v>
      </c>
      <c r="U333">
        <v>1.4</v>
      </c>
      <c r="V333" t="s">
        <v>246</v>
      </c>
    </row>
    <row r="334" spans="1:22" x14ac:dyDescent="0.3">
      <c r="A334" t="s">
        <v>590</v>
      </c>
      <c r="B334" s="2">
        <v>45311</v>
      </c>
      <c r="C334" s="2" t="str" cm="1">
        <f t="array" ref="C33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34">
        <f>YEAR(AllDataApr[[#This Row],[Date]])</f>
        <v>2024</v>
      </c>
      <c r="E334" s="1">
        <v>0.47916666666666669</v>
      </c>
      <c r="F334" s="2" t="str">
        <f>IF(AND(AllDataApr[[#This Row],[Time]]&lt;0.5, AllDataApr[[#This Row],[Time]]&gt;0.17)=TRUE, "Morning", IF(AND(AllDataApr[[#This Row],[Time]]&lt;0.75, AllDataApr[[#This Row],[Time]]&gt;=0.5)=TRUE, "Afternoon", IF(AND(AllDataApr[[#This Row],[Time]]&lt;1, AllDataApr[[#This Row],[Time]]&gt;=0.75)=TRUE, "Evening", "Night")))</f>
        <v>Morning</v>
      </c>
      <c r="G334" t="s">
        <v>218</v>
      </c>
      <c r="H334" t="str">
        <f>_xlfn.XLOOKUP(AllDataApr[[#This Row],[Location Name]], Locations[Row Labels],Locations[Group As])</f>
        <v>Fell Mill Footbridge</v>
      </c>
      <c r="I334" t="str">
        <f>_xlfn.XLOOKUP(AllDataApr[[#This Row],[Site Name]],LocationsKey[Site Name],LocationsKey[Region])</f>
        <v>Shipston</v>
      </c>
      <c r="J334" t="str">
        <f>_xlfn.XLOOKUP(AllDataApr[[#This Row],[Site Name]],LocationsKey[Site Name], LocationsKey[Waterway])</f>
        <v>Stour</v>
      </c>
      <c r="K334" t="s">
        <v>227</v>
      </c>
      <c r="L334">
        <v>52.070131000000003</v>
      </c>
      <c r="M334">
        <v>-1.6114869999999999</v>
      </c>
      <c r="N334" t="s">
        <v>200</v>
      </c>
      <c r="O334">
        <v>607</v>
      </c>
      <c r="P334">
        <v>4.5999999999999996</v>
      </c>
      <c r="Q334">
        <v>10</v>
      </c>
      <c r="R334" s="7" t="str">
        <f>IF(AllDataApr[[#This Row],[Nitrate (PPM)]]&gt;2, "Very high", IF(AllDataApr[[#This Row],[Nitrate (PPM)]]&gt;1, "High", IF(AllDataApr[[#This Row],[Nitrate (PPM)]]&gt;0.5, "Some evidence", IF(AllDataApr[[#This Row],[Nitrate (PPM)]]&gt;0, "No evidence", IF(AllDataApr[[#This Row],[Nitrate (PPM)]]=0, "")))))</f>
        <v>Very high</v>
      </c>
      <c r="S334">
        <v>0.24</v>
      </c>
      <c r="T334" s="7" t="str">
        <f>IF(AllDataApr[[#This Row],[Phosphate (PPM)]]&gt;0.5, "Very high", IF(AllDataApr[[#This Row],[Phosphate (PPM)]]&gt;0.1, "High", IF(AllDataApr[[#This Row],[Phosphate (PPM)]]&gt;0.05, "Some evidence", IF(AllDataApr[[#This Row],[Phosphate (PPM)]]=0, ""))))</f>
        <v>High</v>
      </c>
      <c r="U334">
        <v>0.8</v>
      </c>
    </row>
    <row r="335" spans="1:22" x14ac:dyDescent="0.3">
      <c r="A335" t="s">
        <v>568</v>
      </c>
      <c r="B335" s="2">
        <v>45311</v>
      </c>
      <c r="C335" s="2" t="str" cm="1">
        <f t="array" ref="C33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35">
        <f>YEAR(AllDataApr[[#This Row],[Date]])</f>
        <v>2024</v>
      </c>
      <c r="E335" s="1">
        <v>0.48958333333333331</v>
      </c>
      <c r="F335" s="2" t="str">
        <f>IF(AND(AllDataApr[[#This Row],[Time]]&lt;0.5, AllDataApr[[#This Row],[Time]]&gt;0.17)=TRUE, "Morning", IF(AND(AllDataApr[[#This Row],[Time]]&lt;0.75, AllDataApr[[#This Row],[Time]]&gt;=0.5)=TRUE, "Afternoon", IF(AND(AllDataApr[[#This Row],[Time]]&lt;1, AllDataApr[[#This Row],[Time]]&gt;=0.75)=TRUE, "Evening", "Night")))</f>
        <v>Morning</v>
      </c>
      <c r="G335" t="s">
        <v>112</v>
      </c>
      <c r="H335" t="str">
        <f>_xlfn.XLOOKUP(AllDataApr[[#This Row],[Location Name]], Locations[Row Labels],Locations[Group As])</f>
        <v>Clifford Chambers Road Bridge</v>
      </c>
      <c r="I335" t="str">
        <f>_xlfn.XLOOKUP(AllDataApr[[#This Row],[Site Name]],LocationsKey[Site Name],LocationsKey[Region])</f>
        <v>Stratford</v>
      </c>
      <c r="J335" t="str">
        <f>_xlfn.XLOOKUP(AllDataApr[[#This Row],[Site Name]],LocationsKey[Site Name], LocationsKey[Waterway])</f>
        <v>Stour</v>
      </c>
      <c r="K335" t="s">
        <v>226</v>
      </c>
      <c r="L335">
        <v>52.172840000000001</v>
      </c>
      <c r="M335">
        <v>-1.71377</v>
      </c>
      <c r="N335" t="s">
        <v>1047</v>
      </c>
      <c r="O335">
        <v>660</v>
      </c>
      <c r="P335">
        <v>10.199999999999999</v>
      </c>
      <c r="Q335">
        <v>9</v>
      </c>
      <c r="R335" s="7" t="str">
        <f>IF(AllDataApr[[#This Row],[Nitrate (PPM)]]&gt;2, "Very high", IF(AllDataApr[[#This Row],[Nitrate (PPM)]]&gt;1, "High", IF(AllDataApr[[#This Row],[Nitrate (PPM)]]&gt;0.5, "Some evidence", IF(AllDataApr[[#This Row],[Nitrate (PPM)]]&gt;0, "No evidence", IF(AllDataApr[[#This Row],[Nitrate (PPM)]]=0, "")))))</f>
        <v>Very high</v>
      </c>
      <c r="S335">
        <v>0.32</v>
      </c>
      <c r="T335" s="7" t="str">
        <f>IF(AllDataApr[[#This Row],[Phosphate (PPM)]]&gt;0.5, "Very high", IF(AllDataApr[[#This Row],[Phosphate (PPM)]]&gt;0.1, "High", IF(AllDataApr[[#This Row],[Phosphate (PPM)]]&gt;0.05, "Some evidence", IF(AllDataApr[[#This Row],[Phosphate (PPM)]]=0, ""))))</f>
        <v>High</v>
      </c>
      <c r="U335">
        <v>0.6</v>
      </c>
    </row>
    <row r="336" spans="1:22" x14ac:dyDescent="0.3">
      <c r="A336" t="s">
        <v>597</v>
      </c>
      <c r="B336" s="2">
        <v>45311</v>
      </c>
      <c r="C336" s="2" t="str" cm="1">
        <f t="array" ref="C33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36">
        <f>YEAR(AllDataApr[[#This Row],[Date]])</f>
        <v>2024</v>
      </c>
      <c r="E336" s="1">
        <v>0.48958333333333331</v>
      </c>
      <c r="F336" s="2" t="str">
        <f>IF(AND(AllDataApr[[#This Row],[Time]]&lt;0.5, AllDataApr[[#This Row],[Time]]&gt;0.17)=TRUE, "Morning", IF(AND(AllDataApr[[#This Row],[Time]]&lt;0.75, AllDataApr[[#This Row],[Time]]&gt;=0.5)=TRUE, "Afternoon", IF(AND(AllDataApr[[#This Row],[Time]]&lt;1, AllDataApr[[#This Row],[Time]]&gt;=0.75)=TRUE, "Evening", "Night")))</f>
        <v>Morning</v>
      </c>
      <c r="G336" t="s">
        <v>52</v>
      </c>
      <c r="H336" t="str">
        <f>_xlfn.XLOOKUP(AllDataApr[[#This Row],[Location Name]], Locations[Row Labels],Locations[Group As])</f>
        <v>Carrant Bredon Rd</v>
      </c>
      <c r="I336" t="str">
        <f>_xlfn.XLOOKUP(AllDataApr[[#This Row],[Site Name]],LocationsKey[Site Name],LocationsKey[Region])</f>
        <v>Tewkesbury</v>
      </c>
      <c r="J336" t="str">
        <f>_xlfn.XLOOKUP(AllDataApr[[#This Row],[Site Name]],LocationsKey[Site Name], LocationsKey[Waterway])</f>
        <v>Carrant</v>
      </c>
      <c r="K336" t="s">
        <v>53</v>
      </c>
      <c r="L336">
        <v>51.996360000000003</v>
      </c>
      <c r="M336">
        <v>-2.1560489999999999</v>
      </c>
      <c r="N336" t="s">
        <v>200</v>
      </c>
      <c r="O336">
        <v>751</v>
      </c>
      <c r="P336">
        <v>5.6</v>
      </c>
      <c r="Q336">
        <v>7</v>
      </c>
      <c r="R336" s="7" t="str">
        <f>IF(AllDataApr[[#This Row],[Nitrate (PPM)]]&gt;2, "Very high", IF(AllDataApr[[#This Row],[Nitrate (PPM)]]&gt;1, "High", IF(AllDataApr[[#This Row],[Nitrate (PPM)]]&gt;0.5, "Some evidence", IF(AllDataApr[[#This Row],[Nitrate (PPM)]]&gt;0, "No evidence", IF(AllDataApr[[#This Row],[Nitrate (PPM)]]=0, "")))))</f>
        <v>Very high</v>
      </c>
      <c r="S336">
        <v>0.33</v>
      </c>
      <c r="T336" s="7" t="str">
        <f>IF(AllDataApr[[#This Row],[Phosphate (PPM)]]&gt;0.5, "Very high", IF(AllDataApr[[#This Row],[Phosphate (PPM)]]&gt;0.1, "High", IF(AllDataApr[[#This Row],[Phosphate (PPM)]]&gt;0.05, "Some evidence", IF(AllDataApr[[#This Row],[Phosphate (PPM)]]=0, ""))))</f>
        <v>High</v>
      </c>
      <c r="U336">
        <v>0.02</v>
      </c>
    </row>
    <row r="337" spans="1:22" x14ac:dyDescent="0.3">
      <c r="A337" t="s">
        <v>586</v>
      </c>
      <c r="B337" s="2">
        <v>45312</v>
      </c>
      <c r="C337" s="2" t="str" cm="1">
        <f t="array" ref="C33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37">
        <f>YEAR(AllDataApr[[#This Row],[Date]])</f>
        <v>2024</v>
      </c>
      <c r="E337" s="1">
        <v>0.51388888888888884</v>
      </c>
      <c r="F337" s="2" t="str">
        <f>IF(AND(AllDataApr[[#This Row],[Time]]&lt;0.5, AllDataApr[[#This Row],[Time]]&gt;0.17)=TRUE, "Morning", IF(AND(AllDataApr[[#This Row],[Time]]&lt;0.75, AllDataApr[[#This Row],[Time]]&gt;=0.5)=TRUE, "Afternoon", IF(AND(AllDataApr[[#This Row],[Time]]&lt;1, AllDataApr[[#This Row],[Time]]&gt;=0.75)=TRUE, "Evening", "Night")))</f>
        <v>Afternoon</v>
      </c>
      <c r="G337" t="s">
        <v>20</v>
      </c>
      <c r="H337" t="str">
        <f>_xlfn.XLOOKUP(AllDataApr[[#This Row],[Location Name]], Locations[Row Labels],Locations[Group As])</f>
        <v>Hampton Wood</v>
      </c>
      <c r="I337" t="str">
        <f>_xlfn.XLOOKUP(AllDataApr[[#This Row],[Site Name]],LocationsKey[Site Name],LocationsKey[Region])</f>
        <v>Stratford</v>
      </c>
      <c r="J337" t="str">
        <f>_xlfn.XLOOKUP(AllDataApr[[#This Row],[Site Name]],LocationsKey[Site Name], LocationsKey[Waterway])</f>
        <v>Avon</v>
      </c>
      <c r="K337" t="s">
        <v>25</v>
      </c>
      <c r="L337">
        <v>52.238149999999997</v>
      </c>
      <c r="M337">
        <v>-1.6245799999999999</v>
      </c>
      <c r="N337" t="s">
        <v>18</v>
      </c>
      <c r="O337">
        <v>852</v>
      </c>
      <c r="P337">
        <v>8.1</v>
      </c>
      <c r="Q337">
        <v>7</v>
      </c>
      <c r="R337" s="7" t="str">
        <f>IF(AllDataApr[[#This Row],[Nitrate (PPM)]]&gt;2, "Very high", IF(AllDataApr[[#This Row],[Nitrate (PPM)]]&gt;1, "High", IF(AllDataApr[[#This Row],[Nitrate (PPM)]]&gt;0.5, "Some evidence", IF(AllDataApr[[#This Row],[Nitrate (PPM)]]&gt;0, "No evidence", IF(AllDataApr[[#This Row],[Nitrate (PPM)]]=0, "")))))</f>
        <v>Very high</v>
      </c>
      <c r="S337">
        <v>0.69</v>
      </c>
      <c r="T337" s="7" t="str">
        <f>IF(AllDataApr[[#This Row],[Phosphate (PPM)]]&gt;0.5, "Very high", IF(AllDataApr[[#This Row],[Phosphate (PPM)]]&gt;0.1, "High", IF(AllDataApr[[#This Row],[Phosphate (PPM)]]&gt;0.05, "Some evidence", IF(AllDataApr[[#This Row],[Phosphate (PPM)]]=0, ""))))</f>
        <v>Very high</v>
      </c>
      <c r="U337">
        <v>0</v>
      </c>
    </row>
    <row r="338" spans="1:22" x14ac:dyDescent="0.3">
      <c r="A338" t="s">
        <v>585</v>
      </c>
      <c r="B338" s="2">
        <v>45312</v>
      </c>
      <c r="C338" s="2" t="str" cm="1">
        <f t="array" ref="C33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38">
        <f>YEAR(AllDataApr[[#This Row],[Date]])</f>
        <v>2024</v>
      </c>
      <c r="E338" s="1">
        <v>0.54166666666666663</v>
      </c>
      <c r="F338" s="2" t="str">
        <f>IF(AND(AllDataApr[[#This Row],[Time]]&lt;0.5, AllDataApr[[#This Row],[Time]]&gt;0.17)=TRUE, "Morning", IF(AND(AllDataApr[[#This Row],[Time]]&lt;0.75, AllDataApr[[#This Row],[Time]]&gt;=0.5)=TRUE, "Afternoon", IF(AND(AllDataApr[[#This Row],[Time]]&lt;1, AllDataApr[[#This Row],[Time]]&gt;=0.75)=TRUE, "Evening", "Night")))</f>
        <v>Afternoon</v>
      </c>
      <c r="G338" t="s">
        <v>95</v>
      </c>
      <c r="H338" t="str">
        <f>_xlfn.XLOOKUP(AllDataApr[[#This Row],[Location Name]], Locations[Row Labels],Locations[Group As])</f>
        <v>Hampton Lucy</v>
      </c>
      <c r="I338" t="str">
        <f>_xlfn.XLOOKUP(AllDataApr[[#This Row],[Site Name]],LocationsKey[Site Name],LocationsKey[Region])</f>
        <v>Stratford</v>
      </c>
      <c r="J338" t="str">
        <f>_xlfn.XLOOKUP(AllDataApr[[#This Row],[Site Name]],LocationsKey[Site Name], LocationsKey[Waterway])</f>
        <v>Avon</v>
      </c>
      <c r="K338" t="s">
        <v>27</v>
      </c>
      <c r="L338">
        <v>52.211680000000001</v>
      </c>
      <c r="M338">
        <v>-1.6244400000000001</v>
      </c>
      <c r="N338" t="s">
        <v>200</v>
      </c>
      <c r="O338">
        <v>876</v>
      </c>
      <c r="P338">
        <v>7.6</v>
      </c>
      <c r="Q338">
        <v>10</v>
      </c>
      <c r="R338" s="7" t="str">
        <f>IF(AllDataApr[[#This Row],[Nitrate (PPM)]]&gt;2, "Very high", IF(AllDataApr[[#This Row],[Nitrate (PPM)]]&gt;1, "High", IF(AllDataApr[[#This Row],[Nitrate (PPM)]]&gt;0.5, "Some evidence", IF(AllDataApr[[#This Row],[Nitrate (PPM)]]&gt;0, "No evidence", IF(AllDataApr[[#This Row],[Nitrate (PPM)]]=0, "")))))</f>
        <v>Very high</v>
      </c>
      <c r="S338">
        <v>0.61</v>
      </c>
      <c r="T338" s="7" t="str">
        <f>IF(AllDataApr[[#This Row],[Phosphate (PPM)]]&gt;0.5, "Very high", IF(AllDataApr[[#This Row],[Phosphate (PPM)]]&gt;0.1, "High", IF(AllDataApr[[#This Row],[Phosphate (PPM)]]&gt;0.05, "Some evidence", IF(AllDataApr[[#This Row],[Phosphate (PPM)]]=0, ""))))</f>
        <v>Very high</v>
      </c>
      <c r="U338">
        <v>0</v>
      </c>
    </row>
    <row r="339" spans="1:22" x14ac:dyDescent="0.3">
      <c r="A339" t="s">
        <v>596</v>
      </c>
      <c r="B339" s="2">
        <v>45312</v>
      </c>
      <c r="C339" s="2" t="str" cm="1">
        <f t="array" ref="C33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39">
        <f>YEAR(AllDataApr[[#This Row],[Date]])</f>
        <v>2024</v>
      </c>
      <c r="E339" s="1">
        <v>0.61736111111111114</v>
      </c>
      <c r="F339" s="2" t="str">
        <f>IF(AND(AllDataApr[[#This Row],[Time]]&lt;0.5, AllDataApr[[#This Row],[Time]]&gt;0.17)=TRUE, "Morning", IF(AND(AllDataApr[[#This Row],[Time]]&lt;0.75, AllDataApr[[#This Row],[Time]]&gt;=0.5)=TRUE, "Afternoon", IF(AND(AllDataApr[[#This Row],[Time]]&lt;1, AllDataApr[[#This Row],[Time]]&gt;=0.75)=TRUE, "Evening", "Night")))</f>
        <v>Afternoon</v>
      </c>
      <c r="G339" t="s">
        <v>11</v>
      </c>
      <c r="H339" t="str">
        <f>_xlfn.XLOOKUP(AllDataApr[[#This Row],[Location Name]], Locations[Row Labels],Locations[Group As])</f>
        <v>Black Bear</v>
      </c>
      <c r="I339" t="str">
        <f>_xlfn.XLOOKUP(AllDataApr[[#This Row],[Site Name]],LocationsKey[Site Name],LocationsKey[Region])</f>
        <v>Tewkesbury</v>
      </c>
      <c r="J339" t="str">
        <f>_xlfn.XLOOKUP(AllDataApr[[#This Row],[Site Name]],LocationsKey[Site Name], LocationsKey[Waterway])</f>
        <v>Avon</v>
      </c>
      <c r="K339" t="s">
        <v>231</v>
      </c>
      <c r="L339">
        <v>51.997546999999997</v>
      </c>
      <c r="M339">
        <v>-2.156412</v>
      </c>
      <c r="N339" t="s">
        <v>200</v>
      </c>
      <c r="O339">
        <v>841</v>
      </c>
      <c r="P339">
        <v>6.8</v>
      </c>
      <c r="Q339">
        <v>8</v>
      </c>
      <c r="R339" s="7" t="str">
        <f>IF(AllDataApr[[#This Row],[Nitrate (PPM)]]&gt;2, "Very high", IF(AllDataApr[[#This Row],[Nitrate (PPM)]]&gt;1, "High", IF(AllDataApr[[#This Row],[Nitrate (PPM)]]&gt;0.5, "Some evidence", IF(AllDataApr[[#This Row],[Nitrate (PPM)]]&gt;0, "No evidence", IF(AllDataApr[[#This Row],[Nitrate (PPM)]]=0, "")))))</f>
        <v>Very high</v>
      </c>
      <c r="S339">
        <v>1.01</v>
      </c>
      <c r="T339" s="7" t="str">
        <f>IF(AllDataApr[[#This Row],[Phosphate (PPM)]]&gt;0.5, "Very high", IF(AllDataApr[[#This Row],[Phosphate (PPM)]]&gt;0.1, "High", IF(AllDataApr[[#This Row],[Phosphate (PPM)]]&gt;0.05, "Some evidence", IF(AllDataApr[[#This Row],[Phosphate (PPM)]]=0, ""))))</f>
        <v>Very high</v>
      </c>
      <c r="U339">
        <v>0</v>
      </c>
    </row>
    <row r="340" spans="1:22" x14ac:dyDescent="0.3">
      <c r="A340" t="s">
        <v>500</v>
      </c>
      <c r="B340" s="2">
        <v>45312</v>
      </c>
      <c r="C340" s="2" t="str" cm="1">
        <f t="array" ref="C34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40">
        <f>YEAR(AllDataApr[[#This Row],[Date]])</f>
        <v>2024</v>
      </c>
      <c r="E340" s="1">
        <v>0.625</v>
      </c>
      <c r="F340" s="2" t="str">
        <f>IF(AND(AllDataApr[[#This Row],[Time]]&lt;0.5, AllDataApr[[#This Row],[Time]]&gt;0.17)=TRUE, "Morning", IF(AND(AllDataApr[[#This Row],[Time]]&lt;0.75, AllDataApr[[#This Row],[Time]]&gt;=0.5)=TRUE, "Afternoon", IF(AND(AllDataApr[[#This Row],[Time]]&lt;1, AllDataApr[[#This Row],[Time]]&gt;=0.75)=TRUE, "Evening", "Night")))</f>
        <v>Afternoon</v>
      </c>
      <c r="G340" t="s">
        <v>275</v>
      </c>
      <c r="H340" t="str">
        <f>_xlfn.XLOOKUP(AllDataApr[[#This Row],[Location Name]], Locations[Row Labels],Locations[Group As])</f>
        <v>Bell Brook 1</v>
      </c>
      <c r="I340" t="str">
        <f>_xlfn.XLOOKUP(AllDataApr[[#This Row],[Site Name]],LocationsKey[Site Name],LocationsKey[Region])</f>
        <v>Stratford</v>
      </c>
      <c r="J340" t="str">
        <f>_xlfn.XLOOKUP(AllDataApr[[#This Row],[Site Name]],LocationsKey[Site Name], LocationsKey[Waterway])</f>
        <v>Bell Brook</v>
      </c>
      <c r="K340" t="s">
        <v>279</v>
      </c>
      <c r="N340" t="s">
        <v>200</v>
      </c>
      <c r="O340">
        <v>736</v>
      </c>
      <c r="P340">
        <v>8.6999999999999993</v>
      </c>
      <c r="Q340">
        <v>8</v>
      </c>
      <c r="R340" s="7" t="str">
        <f>IF(AllDataApr[[#This Row],[Nitrate (PPM)]]&gt;2, "Very high", IF(AllDataApr[[#This Row],[Nitrate (PPM)]]&gt;1, "High", IF(AllDataApr[[#This Row],[Nitrate (PPM)]]&gt;0.5, "Some evidence", IF(AllDataApr[[#This Row],[Nitrate (PPM)]]&gt;0, "No evidence", IF(AllDataApr[[#This Row],[Nitrate (PPM)]]=0, "")))))</f>
        <v>Very high</v>
      </c>
      <c r="S340">
        <v>0.45</v>
      </c>
      <c r="T340" s="7" t="str">
        <f>IF(AllDataApr[[#This Row],[Phosphate (PPM)]]&gt;0.5, "Very high", IF(AllDataApr[[#This Row],[Phosphate (PPM)]]&gt;0.1, "High", IF(AllDataApr[[#This Row],[Phosphate (PPM)]]&gt;0.05, "Some evidence", IF(AllDataApr[[#This Row],[Phosphate (PPM)]]=0, ""))))</f>
        <v>High</v>
      </c>
      <c r="U340">
        <v>0.5</v>
      </c>
    </row>
    <row r="341" spans="1:22" x14ac:dyDescent="0.3">
      <c r="A341" t="s">
        <v>501</v>
      </c>
      <c r="B341" s="2">
        <v>45312</v>
      </c>
      <c r="C341" s="2" t="str" cm="1">
        <f t="array" ref="C34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41">
        <f>YEAR(AllDataApr[[#This Row],[Date]])</f>
        <v>2024</v>
      </c>
      <c r="E341" s="1">
        <v>0.625</v>
      </c>
      <c r="F341" s="2" t="str">
        <f>IF(AND(AllDataApr[[#This Row],[Time]]&lt;0.5, AllDataApr[[#This Row],[Time]]&gt;0.17)=TRUE, "Morning", IF(AND(AllDataApr[[#This Row],[Time]]&lt;0.75, AllDataApr[[#This Row],[Time]]&gt;=0.5)=TRUE, "Afternoon", IF(AND(AllDataApr[[#This Row],[Time]]&lt;1, AllDataApr[[#This Row],[Time]]&gt;=0.75)=TRUE, "Evening", "Night")))</f>
        <v>Afternoon</v>
      </c>
      <c r="G341" t="s">
        <v>275</v>
      </c>
      <c r="H341" t="str">
        <f>_xlfn.XLOOKUP(AllDataApr[[#This Row],[Location Name]], Locations[Row Labels],Locations[Group As])</f>
        <v>Sherbourne Brook 1</v>
      </c>
      <c r="I341" t="str">
        <f>_xlfn.XLOOKUP(AllDataApr[[#This Row],[Site Name]],LocationsKey[Site Name],LocationsKey[Region])</f>
        <v>Stratford</v>
      </c>
      <c r="J341" t="str">
        <f>_xlfn.XLOOKUP(AllDataApr[[#This Row],[Site Name]],LocationsKey[Site Name], LocationsKey[Waterway])</f>
        <v>Sherbourne Brook</v>
      </c>
      <c r="K341" t="s">
        <v>280</v>
      </c>
      <c r="N341" t="s">
        <v>200</v>
      </c>
      <c r="O341">
        <v>1020</v>
      </c>
      <c r="P341">
        <v>8.8000000000000007</v>
      </c>
      <c r="Q341">
        <v>10</v>
      </c>
      <c r="R341" s="7" t="str">
        <f>IF(AllDataApr[[#This Row],[Nitrate (PPM)]]&gt;2, "Very high", IF(AllDataApr[[#This Row],[Nitrate (PPM)]]&gt;1, "High", IF(AllDataApr[[#This Row],[Nitrate (PPM)]]&gt;0.5, "Some evidence", IF(AllDataApr[[#This Row],[Nitrate (PPM)]]&gt;0, "No evidence", IF(AllDataApr[[#This Row],[Nitrate (PPM)]]=0, "")))))</f>
        <v>Very high</v>
      </c>
      <c r="S341">
        <v>0.4</v>
      </c>
      <c r="T341" s="7" t="str">
        <f>IF(AllDataApr[[#This Row],[Phosphate (PPM)]]&gt;0.5, "Very high", IF(AllDataApr[[#This Row],[Phosphate (PPM)]]&gt;0.1, "High", IF(AllDataApr[[#This Row],[Phosphate (PPM)]]&gt;0.05, "Some evidence", IF(AllDataApr[[#This Row],[Phosphate (PPM)]]=0, ""))))</f>
        <v>High</v>
      </c>
      <c r="U341">
        <v>0.5</v>
      </c>
    </row>
    <row r="342" spans="1:22" x14ac:dyDescent="0.3">
      <c r="A342" t="s">
        <v>458</v>
      </c>
      <c r="B342" s="2">
        <v>45312</v>
      </c>
      <c r="C342" s="2" t="str" cm="1">
        <f t="array" ref="C34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42">
        <f>YEAR(AllDataApr[[#This Row],[Date]])</f>
        <v>2024</v>
      </c>
      <c r="E342" s="1">
        <v>0.6875</v>
      </c>
      <c r="F342" s="2" t="str">
        <f>IF(AND(AllDataApr[[#This Row],[Time]]&lt;0.5, AllDataApr[[#This Row],[Time]]&gt;0.17)=TRUE, "Morning", IF(AND(AllDataApr[[#This Row],[Time]]&lt;0.75, AllDataApr[[#This Row],[Time]]&gt;=0.5)=TRUE, "Afternoon", IF(AND(AllDataApr[[#This Row],[Time]]&lt;1, AllDataApr[[#This Row],[Time]]&gt;=0.75)=TRUE, "Evening", "Night")))</f>
        <v>Afternoon</v>
      </c>
      <c r="G342" t="s">
        <v>278</v>
      </c>
      <c r="H342" t="str">
        <f>_xlfn.XLOOKUP(AllDataApr[[#This Row],[Location Name]], Locations[Row Labels],Locations[Group As])</f>
        <v>Pitch 16</v>
      </c>
      <c r="I342" t="str">
        <f>_xlfn.XLOOKUP(AllDataApr[[#This Row],[Site Name]],LocationsKey[Site Name],LocationsKey[Region])</f>
        <v>Stratford</v>
      </c>
      <c r="J342" t="str">
        <f>_xlfn.XLOOKUP(AllDataApr[[#This Row],[Site Name]],LocationsKey[Site Name], LocationsKey[Waterway])</f>
        <v>Avon</v>
      </c>
      <c r="K342" t="s">
        <v>39</v>
      </c>
      <c r="N342" t="s">
        <v>18</v>
      </c>
      <c r="O342">
        <v>933</v>
      </c>
      <c r="P342">
        <v>14.6</v>
      </c>
      <c r="Q342">
        <v>5</v>
      </c>
      <c r="R342" s="7" t="str">
        <f>IF(AllDataApr[[#This Row],[Nitrate (PPM)]]&gt;2, "Very high", IF(AllDataApr[[#This Row],[Nitrate (PPM)]]&gt;1, "High", IF(AllDataApr[[#This Row],[Nitrate (PPM)]]&gt;0.5, "Some evidence", IF(AllDataApr[[#This Row],[Nitrate (PPM)]]&gt;0, "No evidence", IF(AllDataApr[[#This Row],[Nitrate (PPM)]]=0, "")))))</f>
        <v>Very high</v>
      </c>
      <c r="S342">
        <v>0.47</v>
      </c>
      <c r="T342" s="7" t="str">
        <f>IF(AllDataApr[[#This Row],[Phosphate (PPM)]]&gt;0.5, "Very high", IF(AllDataApr[[#This Row],[Phosphate (PPM)]]&gt;0.1, "High", IF(AllDataApr[[#This Row],[Phosphate (PPM)]]&gt;0.05, "Some evidence", IF(AllDataApr[[#This Row],[Phosphate (PPM)]]=0, ""))))</f>
        <v>High</v>
      </c>
      <c r="U342">
        <v>0.66</v>
      </c>
    </row>
    <row r="343" spans="1:22" x14ac:dyDescent="0.3">
      <c r="A343" t="s">
        <v>459</v>
      </c>
      <c r="B343" s="2">
        <v>45312</v>
      </c>
      <c r="C343" s="2" t="str" cm="1">
        <f t="array" ref="C34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43">
        <f>YEAR(AllDataApr[[#This Row],[Date]])</f>
        <v>2024</v>
      </c>
      <c r="E343" s="1">
        <v>0.6875</v>
      </c>
      <c r="F343" s="2" t="str">
        <f>IF(AND(AllDataApr[[#This Row],[Time]]&lt;0.5, AllDataApr[[#This Row],[Time]]&gt;0.17)=TRUE, "Morning", IF(AND(AllDataApr[[#This Row],[Time]]&lt;0.75, AllDataApr[[#This Row],[Time]]&gt;=0.5)=TRUE, "Afternoon", IF(AND(AllDataApr[[#This Row],[Time]]&lt;1, AllDataApr[[#This Row],[Time]]&gt;=0.75)=TRUE, "Evening", "Night")))</f>
        <v>Afternoon</v>
      </c>
      <c r="G343" t="s">
        <v>278</v>
      </c>
      <c r="H343" t="str">
        <f>_xlfn.XLOOKUP(AllDataApr[[#This Row],[Location Name]], Locations[Row Labels],Locations[Group As])</f>
        <v>Avonbank Drive</v>
      </c>
      <c r="I343" t="str">
        <f>_xlfn.XLOOKUP(AllDataApr[[#This Row],[Site Name]],LocationsKey[Site Name],LocationsKey[Region])</f>
        <v>Stratford</v>
      </c>
      <c r="J343" t="str">
        <f>_xlfn.XLOOKUP(AllDataApr[[#This Row],[Site Name]],LocationsKey[Site Name], LocationsKey[Waterway])</f>
        <v>Avon</v>
      </c>
      <c r="K343" t="s">
        <v>71</v>
      </c>
      <c r="N343" t="s">
        <v>42</v>
      </c>
      <c r="O343">
        <v>976</v>
      </c>
      <c r="P343">
        <v>15.2</v>
      </c>
      <c r="Q343">
        <v>5</v>
      </c>
      <c r="R343" s="7" t="str">
        <f>IF(AllDataApr[[#This Row],[Nitrate (PPM)]]&gt;2, "Very high", IF(AllDataApr[[#This Row],[Nitrate (PPM)]]&gt;1, "High", IF(AllDataApr[[#This Row],[Nitrate (PPM)]]&gt;0.5, "Some evidence", IF(AllDataApr[[#This Row],[Nitrate (PPM)]]&gt;0, "No evidence", IF(AllDataApr[[#This Row],[Nitrate (PPM)]]=0, "")))))</f>
        <v>Very high</v>
      </c>
      <c r="S343">
        <v>0.49</v>
      </c>
      <c r="T343" s="7" t="str">
        <f>IF(AllDataApr[[#This Row],[Phosphate (PPM)]]&gt;0.5, "Very high", IF(AllDataApr[[#This Row],[Phosphate (PPM)]]&gt;0.1, "High", IF(AllDataApr[[#This Row],[Phosphate (PPM)]]&gt;0.05, "Some evidence", IF(AllDataApr[[#This Row],[Phosphate (PPM)]]=0, ""))))</f>
        <v>High</v>
      </c>
      <c r="U343">
        <v>0.66</v>
      </c>
    </row>
    <row r="344" spans="1:22" x14ac:dyDescent="0.3">
      <c r="A344" t="s">
        <v>589</v>
      </c>
      <c r="B344" s="2">
        <v>45313</v>
      </c>
      <c r="C344" s="2" t="str" cm="1">
        <f t="array" ref="C34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44">
        <f>YEAR(AllDataApr[[#This Row],[Date]])</f>
        <v>2024</v>
      </c>
      <c r="E344" s="1">
        <v>0.38194444444444442</v>
      </c>
      <c r="F344" s="2" t="str">
        <f>IF(AND(AllDataApr[[#This Row],[Time]]&lt;0.5, AllDataApr[[#This Row],[Time]]&gt;0.17)=TRUE, "Morning", IF(AND(AllDataApr[[#This Row],[Time]]&lt;0.75, AllDataApr[[#This Row],[Time]]&gt;=0.5)=TRUE, "Afternoon", IF(AND(AllDataApr[[#This Row],[Time]]&lt;1, AllDataApr[[#This Row],[Time]]&gt;=0.75)=TRUE, "Evening", "Night")))</f>
        <v>Morning</v>
      </c>
      <c r="G344" t="s">
        <v>156</v>
      </c>
      <c r="H344" t="str">
        <f>_xlfn.XLOOKUP(AllDataApr[[#This Row],[Location Name]], Locations[Row Labels],Locations[Group As])</f>
        <v>Alveston Weir</v>
      </c>
      <c r="I344" t="str">
        <f>_xlfn.XLOOKUP(AllDataApr[[#This Row],[Site Name]],LocationsKey[Site Name],LocationsKey[Region])</f>
        <v>Stratford</v>
      </c>
      <c r="J344" t="str">
        <f>_xlfn.XLOOKUP(AllDataApr[[#This Row],[Site Name]],LocationsKey[Site Name], LocationsKey[Waterway])</f>
        <v>Avon</v>
      </c>
      <c r="K344" t="s">
        <v>128</v>
      </c>
      <c r="L344">
        <v>52.212288999999998</v>
      </c>
      <c r="M344">
        <v>-1.660452</v>
      </c>
      <c r="N344" t="s">
        <v>18</v>
      </c>
      <c r="O344">
        <v>716</v>
      </c>
      <c r="P344">
        <v>9.8000000000000007</v>
      </c>
      <c r="Q344">
        <v>5</v>
      </c>
      <c r="R344" s="7" t="str">
        <f>IF(AllDataApr[[#This Row],[Nitrate (PPM)]]&gt;2, "Very high", IF(AllDataApr[[#This Row],[Nitrate (PPM)]]&gt;1, "High", IF(AllDataApr[[#This Row],[Nitrate (PPM)]]&gt;0.5, "Some evidence", IF(AllDataApr[[#This Row],[Nitrate (PPM)]]&gt;0, "No evidence", IF(AllDataApr[[#This Row],[Nitrate (PPM)]]=0, "")))))</f>
        <v>Very high</v>
      </c>
      <c r="S344">
        <v>0.59</v>
      </c>
      <c r="T344" s="7" t="str">
        <f>IF(AllDataApr[[#This Row],[Phosphate (PPM)]]&gt;0.5, "Very high", IF(AllDataApr[[#This Row],[Phosphate (PPM)]]&gt;0.1, "High", IF(AllDataApr[[#This Row],[Phosphate (PPM)]]&gt;0.05, "Some evidence", IF(AllDataApr[[#This Row],[Phosphate (PPM)]]=0, ""))))</f>
        <v>Very high</v>
      </c>
      <c r="U344">
        <v>0</v>
      </c>
    </row>
    <row r="345" spans="1:22" x14ac:dyDescent="0.3">
      <c r="A345" t="s">
        <v>593</v>
      </c>
      <c r="B345" s="2">
        <v>45313</v>
      </c>
      <c r="C345" s="2" t="str" cm="1">
        <f t="array" ref="C34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45">
        <f>YEAR(AllDataApr[[#This Row],[Date]])</f>
        <v>2024</v>
      </c>
      <c r="E345" s="1">
        <v>0.3923611111111111</v>
      </c>
      <c r="F345" s="2" t="str">
        <f>IF(AND(AllDataApr[[#This Row],[Time]]&lt;0.5, AllDataApr[[#This Row],[Time]]&gt;0.17)=TRUE, "Morning", IF(AND(AllDataApr[[#This Row],[Time]]&lt;0.75, AllDataApr[[#This Row],[Time]]&gt;=0.5)=TRUE, "Afternoon", IF(AND(AllDataApr[[#This Row],[Time]]&lt;1, AllDataApr[[#This Row],[Time]]&gt;=0.75)=TRUE, "Evening", "Night")))</f>
        <v>Morning</v>
      </c>
      <c r="G345" t="s">
        <v>139</v>
      </c>
      <c r="H345" t="str">
        <f>_xlfn.XLOOKUP(AllDataApr[[#This Row],[Location Name]], Locations[Row Labels],Locations[Group As])</f>
        <v>Swiffen Bank</v>
      </c>
      <c r="I345" t="str">
        <f>_xlfn.XLOOKUP(AllDataApr[[#This Row],[Site Name]],LocationsKey[Site Name],LocationsKey[Region])</f>
        <v>Stratford</v>
      </c>
      <c r="J345" t="str">
        <f>_xlfn.XLOOKUP(AllDataApr[[#This Row],[Site Name]],LocationsKey[Site Name], LocationsKey[Waterway])</f>
        <v>Avon</v>
      </c>
      <c r="K345" t="s">
        <v>130</v>
      </c>
      <c r="L345">
        <v>52.206496000000001</v>
      </c>
      <c r="M345">
        <v>-1.65418</v>
      </c>
      <c r="N345" t="s">
        <v>18</v>
      </c>
      <c r="O345">
        <v>701</v>
      </c>
      <c r="P345">
        <v>8</v>
      </c>
      <c r="Q345">
        <v>5</v>
      </c>
      <c r="R345" s="7" t="str">
        <f>IF(AllDataApr[[#This Row],[Nitrate (PPM)]]&gt;2, "Very high", IF(AllDataApr[[#This Row],[Nitrate (PPM)]]&gt;1, "High", IF(AllDataApr[[#This Row],[Nitrate (PPM)]]&gt;0.5, "Some evidence", IF(AllDataApr[[#This Row],[Nitrate (PPM)]]&gt;0, "No evidence", IF(AllDataApr[[#This Row],[Nitrate (PPM)]]=0, "")))))</f>
        <v>Very high</v>
      </c>
      <c r="S345">
        <v>0.5</v>
      </c>
      <c r="T345" s="7" t="str">
        <f>IF(AllDataApr[[#This Row],[Phosphate (PPM)]]&gt;0.5, "Very high", IF(AllDataApr[[#This Row],[Phosphate (PPM)]]&gt;0.1, "High", IF(AllDataApr[[#This Row],[Phosphate (PPM)]]&gt;0.05, "Some evidence", IF(AllDataApr[[#This Row],[Phosphate (PPM)]]=0, ""))))</f>
        <v>High</v>
      </c>
      <c r="U345">
        <v>0</v>
      </c>
    </row>
    <row r="346" spans="1:22" x14ac:dyDescent="0.3">
      <c r="A346" t="s">
        <v>594</v>
      </c>
      <c r="B346" s="2">
        <v>45313</v>
      </c>
      <c r="C346" s="2" t="str" cm="1">
        <f t="array" ref="C34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46">
        <f>YEAR(AllDataApr[[#This Row],[Date]])</f>
        <v>2024</v>
      </c>
      <c r="E346" s="1">
        <v>0.40347222222222223</v>
      </c>
      <c r="F346" s="2" t="str">
        <f>IF(AND(AllDataApr[[#This Row],[Time]]&lt;0.5, AllDataApr[[#This Row],[Time]]&gt;0.17)=TRUE, "Morning", IF(AND(AllDataApr[[#This Row],[Time]]&lt;0.75, AllDataApr[[#This Row],[Time]]&gt;=0.5)=TRUE, "Afternoon", IF(AND(AllDataApr[[#This Row],[Time]]&lt;1, AllDataApr[[#This Row],[Time]]&gt;=0.75)=TRUE, "Evening", "Night")))</f>
        <v>Morning</v>
      </c>
      <c r="G346" t="s">
        <v>150</v>
      </c>
      <c r="H346" t="str">
        <f>_xlfn.XLOOKUP(AllDataApr[[#This Row],[Location Name]], Locations[Row Labels],Locations[Group As])</f>
        <v>Stour Stretton-on-Fosse Village</v>
      </c>
      <c r="I346" t="str">
        <f>_xlfn.XLOOKUP(AllDataApr[[#This Row],[Site Name]],LocationsKey[Site Name],LocationsKey[Region])</f>
        <v>Shipston</v>
      </c>
      <c r="J346" t="str">
        <f>_xlfn.XLOOKUP(AllDataApr[[#This Row],[Site Name]],LocationsKey[Site Name], LocationsKey[Waterway])</f>
        <v>Stour</v>
      </c>
      <c r="K346" t="s">
        <v>198</v>
      </c>
      <c r="L346">
        <v>52.046604000000002</v>
      </c>
      <c r="M346">
        <v>-1.6733880000000001</v>
      </c>
      <c r="N346" t="s">
        <v>42</v>
      </c>
      <c r="O346">
        <v>376</v>
      </c>
      <c r="P346">
        <v>7.1</v>
      </c>
      <c r="Q346">
        <v>2</v>
      </c>
      <c r="R346" s="7" t="str">
        <f>IF(AllDataApr[[#This Row],[Nitrate (PPM)]]&gt;2, "Very high", IF(AllDataApr[[#This Row],[Nitrate (PPM)]]&gt;1, "High", IF(AllDataApr[[#This Row],[Nitrate (PPM)]]&gt;0.5, "Some evidence", IF(AllDataApr[[#This Row],[Nitrate (PPM)]]&gt;0, "No evidence", IF(AllDataApr[[#This Row],[Nitrate (PPM)]]=0, "")))))</f>
        <v>High</v>
      </c>
      <c r="S346">
        <v>0.49</v>
      </c>
      <c r="T346" s="7" t="str">
        <f>IF(AllDataApr[[#This Row],[Phosphate (PPM)]]&gt;0.5, "Very high", IF(AllDataApr[[#This Row],[Phosphate (PPM)]]&gt;0.1, "High", IF(AllDataApr[[#This Row],[Phosphate (PPM)]]&gt;0.05, "Some evidence", IF(AllDataApr[[#This Row],[Phosphate (PPM)]]=0, ""))))</f>
        <v>High</v>
      </c>
      <c r="U346">
        <v>0.35</v>
      </c>
      <c r="V346" t="s">
        <v>248</v>
      </c>
    </row>
    <row r="347" spans="1:22" x14ac:dyDescent="0.3">
      <c r="A347" t="s">
        <v>592</v>
      </c>
      <c r="B347" s="2">
        <v>45313</v>
      </c>
      <c r="C347" s="2" t="str" cm="1">
        <f t="array" ref="C34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47">
        <f>YEAR(AllDataApr[[#This Row],[Date]])</f>
        <v>2024</v>
      </c>
      <c r="E347" s="1">
        <v>0.41805555555555557</v>
      </c>
      <c r="F347" s="2" t="str">
        <f>IF(AND(AllDataApr[[#This Row],[Time]]&lt;0.5, AllDataApr[[#This Row],[Time]]&gt;0.17)=TRUE, "Morning", IF(AND(AllDataApr[[#This Row],[Time]]&lt;0.75, AllDataApr[[#This Row],[Time]]&gt;=0.5)=TRUE, "Afternoon", IF(AND(AllDataApr[[#This Row],[Time]]&lt;1, AllDataApr[[#This Row],[Time]]&gt;=0.75)=TRUE, "Evening", "Night")))</f>
        <v>Morning</v>
      </c>
      <c r="G347" t="s">
        <v>150</v>
      </c>
      <c r="H347" t="str">
        <f>_xlfn.XLOOKUP(AllDataApr[[#This Row],[Location Name]], Locations[Row Labels],Locations[Group As])</f>
        <v>Stour Stretton-on-Fosse Sewage Works</v>
      </c>
      <c r="I347" t="str">
        <f>_xlfn.XLOOKUP(AllDataApr[[#This Row],[Site Name]],LocationsKey[Site Name],LocationsKey[Region])</f>
        <v>Shipston</v>
      </c>
      <c r="J347" t="str">
        <f>_xlfn.XLOOKUP(AllDataApr[[#This Row],[Site Name]],LocationsKey[Site Name], LocationsKey[Waterway])</f>
        <v>Stour</v>
      </c>
      <c r="K347" t="s">
        <v>151</v>
      </c>
      <c r="L347">
        <v>52.045608999999999</v>
      </c>
      <c r="M347">
        <v>-1.6719980000000001</v>
      </c>
      <c r="N347" t="s">
        <v>18</v>
      </c>
      <c r="O347">
        <v>369</v>
      </c>
      <c r="P347">
        <v>6.5</v>
      </c>
      <c r="Q347">
        <v>3.5</v>
      </c>
      <c r="R347" s="7" t="str">
        <f>IF(AllDataApr[[#This Row],[Nitrate (PPM)]]&gt;2, "Very high", IF(AllDataApr[[#This Row],[Nitrate (PPM)]]&gt;1, "High", IF(AllDataApr[[#This Row],[Nitrate (PPM)]]&gt;0.5, "Some evidence", IF(AllDataApr[[#This Row],[Nitrate (PPM)]]&gt;0, "No evidence", IF(AllDataApr[[#This Row],[Nitrate (PPM)]]=0, "")))))</f>
        <v>Very high</v>
      </c>
      <c r="S347">
        <v>0.71</v>
      </c>
      <c r="T347" s="7" t="str">
        <f>IF(AllDataApr[[#This Row],[Phosphate (PPM)]]&gt;0.5, "Very high", IF(AllDataApr[[#This Row],[Phosphate (PPM)]]&gt;0.1, "High", IF(AllDataApr[[#This Row],[Phosphate (PPM)]]&gt;0.05, "Some evidence", IF(AllDataApr[[#This Row],[Phosphate (PPM)]]=0, ""))))</f>
        <v>Very high</v>
      </c>
      <c r="U347">
        <v>0.45</v>
      </c>
      <c r="V347" t="s">
        <v>247</v>
      </c>
    </row>
    <row r="348" spans="1:22" x14ac:dyDescent="0.3">
      <c r="A348" t="s">
        <v>588</v>
      </c>
      <c r="B348" s="2">
        <v>45313</v>
      </c>
      <c r="C348" s="2" t="str" cm="1">
        <f t="array" ref="C34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48">
        <f>YEAR(AllDataApr[[#This Row],[Date]])</f>
        <v>2024</v>
      </c>
      <c r="E348" s="1">
        <v>0.49236111111111114</v>
      </c>
      <c r="F348" s="2" t="str">
        <f>IF(AND(AllDataApr[[#This Row],[Time]]&lt;0.5, AllDataApr[[#This Row],[Time]]&gt;0.17)=TRUE, "Morning", IF(AND(AllDataApr[[#This Row],[Time]]&lt;0.75, AllDataApr[[#This Row],[Time]]&gt;=0.5)=TRUE, "Afternoon", IF(AND(AllDataApr[[#This Row],[Time]]&lt;1, AllDataApr[[#This Row],[Time]]&gt;=0.75)=TRUE, "Evening", "Night")))</f>
        <v>Morning</v>
      </c>
      <c r="G348" t="s">
        <v>222</v>
      </c>
      <c r="H348" t="str">
        <f>_xlfn.XLOOKUP(AllDataApr[[#This Row],[Location Name]], Locations[Row Labels],Locations[Group As])</f>
        <v>Pershore Bridges</v>
      </c>
      <c r="I348" t="str">
        <f>_xlfn.XLOOKUP(AllDataApr[[#This Row],[Site Name]],LocationsKey[Site Name],LocationsKey[Region])</f>
        <v>Pershore</v>
      </c>
      <c r="J348" t="str">
        <f>_xlfn.XLOOKUP(AllDataApr[[#This Row],[Site Name]],LocationsKey[Site Name], LocationsKey[Waterway])</f>
        <v>Avon</v>
      </c>
      <c r="K348" t="s">
        <v>233</v>
      </c>
      <c r="L348">
        <v>52.104452999999999</v>
      </c>
      <c r="M348">
        <v>-2.071342</v>
      </c>
      <c r="O348">
        <v>925</v>
      </c>
      <c r="P348">
        <v>10.9</v>
      </c>
      <c r="Q348">
        <v>10</v>
      </c>
      <c r="R348" s="7" t="str">
        <f>IF(AllDataApr[[#This Row],[Nitrate (PPM)]]&gt;2, "Very high", IF(AllDataApr[[#This Row],[Nitrate (PPM)]]&gt;1, "High", IF(AllDataApr[[#This Row],[Nitrate (PPM)]]&gt;0.5, "Some evidence", IF(AllDataApr[[#This Row],[Nitrate (PPM)]]&gt;0, "No evidence", IF(AllDataApr[[#This Row],[Nitrate (PPM)]]=0, "")))))</f>
        <v>Very high</v>
      </c>
      <c r="S348">
        <v>0.73</v>
      </c>
      <c r="T348" s="7" t="str">
        <f>IF(AllDataApr[[#This Row],[Phosphate (PPM)]]&gt;0.5, "Very high", IF(AllDataApr[[#This Row],[Phosphate (PPM)]]&gt;0.1, "High", IF(AllDataApr[[#This Row],[Phosphate (PPM)]]&gt;0.05, "Some evidence", IF(AllDataApr[[#This Row],[Phosphate (PPM)]]=0, ""))))</f>
        <v>Very high</v>
      </c>
      <c r="U348">
        <v>3.46</v>
      </c>
    </row>
    <row r="349" spans="1:22" x14ac:dyDescent="0.3">
      <c r="A349" t="s">
        <v>587</v>
      </c>
      <c r="B349" s="2">
        <v>45313</v>
      </c>
      <c r="C349" s="2" t="str" cm="1">
        <f t="array" ref="C34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49">
        <f>YEAR(AllDataApr[[#This Row],[Date]])</f>
        <v>2024</v>
      </c>
      <c r="E349" s="1">
        <v>0.50069444444444444</v>
      </c>
      <c r="F349" s="2" t="str">
        <f>IF(AND(AllDataApr[[#This Row],[Time]]&lt;0.5, AllDataApr[[#This Row],[Time]]&gt;0.17)=TRUE, "Morning", IF(AND(AllDataApr[[#This Row],[Time]]&lt;0.75, AllDataApr[[#This Row],[Time]]&gt;=0.5)=TRUE, "Afternoon", IF(AND(AllDataApr[[#This Row],[Time]]&lt;1, AllDataApr[[#This Row],[Time]]&gt;=0.75)=TRUE, "Evening", "Night")))</f>
        <v>Afternoon</v>
      </c>
      <c r="G349" t="s">
        <v>222</v>
      </c>
      <c r="H349" t="str">
        <f>_xlfn.XLOOKUP(AllDataApr[[#This Row],[Location Name]], Locations[Row Labels],Locations[Group As])</f>
        <v>Pershore Leisure Centre</v>
      </c>
      <c r="I349" t="str">
        <f>_xlfn.XLOOKUP(AllDataApr[[#This Row],[Site Name]],LocationsKey[Site Name],LocationsKey[Region])</f>
        <v>Pershore</v>
      </c>
      <c r="J349" t="str">
        <f>_xlfn.XLOOKUP(AllDataApr[[#This Row],[Site Name]],LocationsKey[Site Name], LocationsKey[Waterway])</f>
        <v>Avon</v>
      </c>
      <c r="K349" t="s">
        <v>232</v>
      </c>
      <c r="L349">
        <v>52.104145000000003</v>
      </c>
      <c r="M349">
        <v>-2.0707439999999999</v>
      </c>
      <c r="O349">
        <v>930</v>
      </c>
      <c r="P349">
        <v>9.9</v>
      </c>
      <c r="Q349">
        <v>10</v>
      </c>
      <c r="R349" s="7" t="str">
        <f>IF(AllDataApr[[#This Row],[Nitrate (PPM)]]&gt;2, "Very high", IF(AllDataApr[[#This Row],[Nitrate (PPM)]]&gt;1, "High", IF(AllDataApr[[#This Row],[Nitrate (PPM)]]&gt;0.5, "Some evidence", IF(AllDataApr[[#This Row],[Nitrate (PPM)]]&gt;0, "No evidence", IF(AllDataApr[[#This Row],[Nitrate (PPM)]]=0, "")))))</f>
        <v>Very high</v>
      </c>
      <c r="S349">
        <v>0.66</v>
      </c>
      <c r="T349" s="7" t="str">
        <f>IF(AllDataApr[[#This Row],[Phosphate (PPM)]]&gt;0.5, "Very high", IF(AllDataApr[[#This Row],[Phosphate (PPM)]]&gt;0.1, "High", IF(AllDataApr[[#This Row],[Phosphate (PPM)]]&gt;0.05, "Some evidence", IF(AllDataApr[[#This Row],[Phosphate (PPM)]]=0, ""))))</f>
        <v>Very high</v>
      </c>
      <c r="U349">
        <v>3.46</v>
      </c>
    </row>
    <row r="350" spans="1:22" x14ac:dyDescent="0.3">
      <c r="A350" t="s">
        <v>530</v>
      </c>
      <c r="B350" s="2">
        <v>45315</v>
      </c>
      <c r="C350" s="2" t="str" cm="1">
        <f t="array" ref="C35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50">
        <f>YEAR(AllDataApr[[#This Row],[Date]])</f>
        <v>2024</v>
      </c>
      <c r="E350" s="1">
        <v>0.64583333333333337</v>
      </c>
      <c r="F350" s="2" t="str">
        <f>IF(AND(AllDataApr[[#This Row],[Time]]&lt;0.5, AllDataApr[[#This Row],[Time]]&gt;0.17)=TRUE, "Morning", IF(AND(AllDataApr[[#This Row],[Time]]&lt;0.75, AllDataApr[[#This Row],[Time]]&gt;=0.5)=TRUE, "Afternoon", IF(AND(AllDataApr[[#This Row],[Time]]&lt;1, AllDataApr[[#This Row],[Time]]&gt;=0.75)=TRUE, "Evening", "Night")))</f>
        <v>Afternoon</v>
      </c>
      <c r="G350" t="s">
        <v>57</v>
      </c>
      <c r="H350" t="str">
        <f>_xlfn.XLOOKUP(AllDataApr[[#This Row],[Location Name]], Locations[Row Labels],Locations[Group As])</f>
        <v>Stour Newbold Mill</v>
      </c>
      <c r="I350" t="str">
        <f>_xlfn.XLOOKUP(AllDataApr[[#This Row],[Site Name]],LocationsKey[Site Name],LocationsKey[Region])</f>
        <v>Shipston</v>
      </c>
      <c r="J350" t="str">
        <f>_xlfn.XLOOKUP(AllDataApr[[#This Row],[Site Name]],LocationsKey[Site Name], LocationsKey[Waterway])</f>
        <v>Stour</v>
      </c>
      <c r="K350" t="s">
        <v>66</v>
      </c>
      <c r="L350">
        <v>52.112775999999997</v>
      </c>
      <c r="M350">
        <v>-1.6335150000000001</v>
      </c>
      <c r="N350" t="s">
        <v>18</v>
      </c>
      <c r="O350">
        <v>621</v>
      </c>
      <c r="P350">
        <v>9.8000000000000007</v>
      </c>
      <c r="Q350">
        <v>5</v>
      </c>
      <c r="R350" s="7" t="str">
        <f>IF(AllDataApr[[#This Row],[Nitrate (PPM)]]&gt;2, "Very high", IF(AllDataApr[[#This Row],[Nitrate (PPM)]]&gt;1, "High", IF(AllDataApr[[#This Row],[Nitrate (PPM)]]&gt;0.5, "Some evidence", IF(AllDataApr[[#This Row],[Nitrate (PPM)]]&gt;0, "No evidence", IF(AllDataApr[[#This Row],[Nitrate (PPM)]]=0, "")))))</f>
        <v>Very high</v>
      </c>
      <c r="S350">
        <v>0.38</v>
      </c>
      <c r="T350" s="7" t="str">
        <f>IF(AllDataApr[[#This Row],[Phosphate (PPM)]]&gt;0.5, "Very high", IF(AllDataApr[[#This Row],[Phosphate (PPM)]]&gt;0.1, "High", IF(AllDataApr[[#This Row],[Phosphate (PPM)]]&gt;0.05, "Some evidence", IF(AllDataApr[[#This Row],[Phosphate (PPM)]]=0, ""))))</f>
        <v>High</v>
      </c>
      <c r="U350">
        <v>2.5</v>
      </c>
      <c r="V350" t="s">
        <v>249</v>
      </c>
    </row>
    <row r="351" spans="1:22" x14ac:dyDescent="0.3">
      <c r="A351" t="s">
        <v>551</v>
      </c>
      <c r="B351" s="2">
        <v>45316</v>
      </c>
      <c r="C351" s="2" t="str" cm="1">
        <f t="array" ref="C35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51">
        <f>YEAR(AllDataApr[[#This Row],[Date]])</f>
        <v>2024</v>
      </c>
      <c r="E351" s="1">
        <v>0.4236111111111111</v>
      </c>
      <c r="F351" s="2" t="str">
        <f>IF(AND(AllDataApr[[#This Row],[Time]]&lt;0.5, AllDataApr[[#This Row],[Time]]&gt;0.17)=TRUE, "Morning", IF(AND(AllDataApr[[#This Row],[Time]]&lt;0.75, AllDataApr[[#This Row],[Time]]&gt;=0.5)=TRUE, "Afternoon", IF(AND(AllDataApr[[#This Row],[Time]]&lt;1, AllDataApr[[#This Row],[Time]]&gt;=0.75)=TRUE, "Evening", "Night")))</f>
        <v>Morning</v>
      </c>
      <c r="G351" t="s">
        <v>220</v>
      </c>
      <c r="H351" t="str">
        <f>_xlfn.XLOOKUP(AllDataApr[[#This Row],[Location Name]], Locations[Row Labels],Locations[Group As])</f>
        <v>Stour Willington</v>
      </c>
      <c r="I351" t="str">
        <f>_xlfn.XLOOKUP(AllDataApr[[#This Row],[Site Name]],LocationsKey[Site Name],LocationsKey[Region])</f>
        <v>Shipston</v>
      </c>
      <c r="J351" t="str">
        <f>_xlfn.XLOOKUP(AllDataApr[[#This Row],[Site Name]],LocationsKey[Site Name], LocationsKey[Waterway])</f>
        <v>Stour</v>
      </c>
      <c r="K351" t="s">
        <v>197</v>
      </c>
      <c r="L351">
        <v>52.051000000000002</v>
      </c>
      <c r="M351">
        <v>-1.6140000000000001</v>
      </c>
      <c r="O351">
        <v>620</v>
      </c>
      <c r="P351">
        <v>11.6</v>
      </c>
      <c r="Q351">
        <v>2</v>
      </c>
      <c r="R351" s="7" t="str">
        <f>IF(AllDataApr[[#This Row],[Nitrate (PPM)]]&gt;2, "Very high", IF(AllDataApr[[#This Row],[Nitrate (PPM)]]&gt;1, "High", IF(AllDataApr[[#This Row],[Nitrate (PPM)]]&gt;0.5, "Some evidence", IF(AllDataApr[[#This Row],[Nitrate (PPM)]]&gt;0, "No evidence", IF(AllDataApr[[#This Row],[Nitrate (PPM)]]=0, "")))))</f>
        <v>High</v>
      </c>
      <c r="S351">
        <v>0.23</v>
      </c>
      <c r="T351" s="7" t="str">
        <f>IF(AllDataApr[[#This Row],[Phosphate (PPM)]]&gt;0.5, "Very high", IF(AllDataApr[[#This Row],[Phosphate (PPM)]]&gt;0.1, "High", IF(AllDataApr[[#This Row],[Phosphate (PPM)]]&gt;0.05, "Some evidence", IF(AllDataApr[[#This Row],[Phosphate (PPM)]]=0, ""))))</f>
        <v>High</v>
      </c>
      <c r="U351">
        <v>0.5</v>
      </c>
      <c r="V351" t="s">
        <v>250</v>
      </c>
    </row>
    <row r="352" spans="1:22" x14ac:dyDescent="0.3">
      <c r="A352" t="s">
        <v>577</v>
      </c>
      <c r="B352" s="2">
        <v>45316</v>
      </c>
      <c r="C352" s="2" t="str" cm="1">
        <f t="array" ref="C35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52">
        <f>YEAR(AllDataApr[[#This Row],[Date]])</f>
        <v>2024</v>
      </c>
      <c r="E352" s="1">
        <v>0.4375</v>
      </c>
      <c r="F352" s="2" t="str">
        <f>IF(AND(AllDataApr[[#This Row],[Time]]&lt;0.5, AllDataApr[[#This Row],[Time]]&gt;0.17)=TRUE, "Morning", IF(AND(AllDataApr[[#This Row],[Time]]&lt;0.75, AllDataApr[[#This Row],[Time]]&gt;=0.5)=TRUE, "Afternoon", IF(AND(AllDataApr[[#This Row],[Time]]&lt;1, AllDataApr[[#This Row],[Time]]&gt;=0.75)=TRUE, "Evening", "Night")))</f>
        <v>Morning</v>
      </c>
      <c r="G352" t="s">
        <v>46</v>
      </c>
      <c r="H352" t="str">
        <f>_xlfn.XLOOKUP(AllDataApr[[#This Row],[Location Name]], Locations[Row Labels],Locations[Group As])</f>
        <v>Swilgate</v>
      </c>
      <c r="I352" t="str">
        <f>_xlfn.XLOOKUP(AllDataApr[[#This Row],[Site Name]],LocationsKey[Site Name],LocationsKey[Region])</f>
        <v>Tewkesbury</v>
      </c>
      <c r="J352" t="str">
        <f>_xlfn.XLOOKUP(AllDataApr[[#This Row],[Site Name]],LocationsKey[Site Name], LocationsKey[Waterway])</f>
        <v>Swilgate</v>
      </c>
      <c r="K352" t="s">
        <v>47</v>
      </c>
      <c r="N352" t="s">
        <v>200</v>
      </c>
      <c r="O352">
        <v>999</v>
      </c>
      <c r="P352">
        <v>9.6999999999999993</v>
      </c>
      <c r="Q352">
        <v>3</v>
      </c>
      <c r="R352" s="7" t="str">
        <f>IF(AllDataApr[[#This Row],[Nitrate (PPM)]]&gt;2, "Very high", IF(AllDataApr[[#This Row],[Nitrate (PPM)]]&gt;1, "High", IF(AllDataApr[[#This Row],[Nitrate (PPM)]]&gt;0.5, "Some evidence", IF(AllDataApr[[#This Row],[Nitrate (PPM)]]&gt;0, "No evidence", IF(AllDataApr[[#This Row],[Nitrate (PPM)]]=0, "")))))</f>
        <v>Very high</v>
      </c>
      <c r="S352">
        <v>0.42</v>
      </c>
      <c r="T352" s="7" t="str">
        <f>IF(AllDataApr[[#This Row],[Phosphate (PPM)]]&gt;0.5, "Very high", IF(AllDataApr[[#This Row],[Phosphate (PPM)]]&gt;0.1, "High", IF(AllDataApr[[#This Row],[Phosphate (PPM)]]&gt;0.05, "Some evidence", IF(AllDataApr[[#This Row],[Phosphate (PPM)]]=0, ""))))</f>
        <v>High</v>
      </c>
      <c r="U352">
        <v>1</v>
      </c>
      <c r="V352" t="s">
        <v>251</v>
      </c>
    </row>
    <row r="353" spans="1:22" x14ac:dyDescent="0.3">
      <c r="A353" t="s">
        <v>584</v>
      </c>
      <c r="B353" s="2">
        <v>45316</v>
      </c>
      <c r="C353" s="2" t="str" cm="1">
        <f t="array" ref="C35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53">
        <f>YEAR(AllDataApr[[#This Row],[Date]])</f>
        <v>2024</v>
      </c>
      <c r="E353" s="1">
        <v>0.57847222222222228</v>
      </c>
      <c r="F353" s="2" t="str">
        <f>IF(AND(AllDataApr[[#This Row],[Time]]&lt;0.5, AllDataApr[[#This Row],[Time]]&gt;0.17)=TRUE, "Morning", IF(AND(AllDataApr[[#This Row],[Time]]&lt;0.75, AllDataApr[[#This Row],[Time]]&gt;=0.5)=TRUE, "Afternoon", IF(AND(AllDataApr[[#This Row],[Time]]&lt;1, AllDataApr[[#This Row],[Time]]&gt;=0.75)=TRUE, "Evening", "Night")))</f>
        <v>Afternoon</v>
      </c>
      <c r="G353" t="s">
        <v>59</v>
      </c>
      <c r="H353" t="str">
        <f>_xlfn.XLOOKUP(AllDataApr[[#This Row],[Location Name]], Locations[Row Labels],Locations[Group As])</f>
        <v>Preston-on-Stour River Bridge</v>
      </c>
      <c r="I353" t="str">
        <f>_xlfn.XLOOKUP(AllDataApr[[#This Row],[Site Name]],LocationsKey[Site Name],LocationsKey[Region])</f>
        <v>Stratford</v>
      </c>
      <c r="J353" t="str">
        <f>_xlfn.XLOOKUP(AllDataApr[[#This Row],[Site Name]],LocationsKey[Site Name], LocationsKey[Waterway])</f>
        <v>Stour</v>
      </c>
      <c r="K353" t="s">
        <v>78</v>
      </c>
      <c r="L353">
        <v>52.146572999999997</v>
      </c>
      <c r="M353">
        <v>-1.6991149999999999</v>
      </c>
      <c r="N353" t="s">
        <v>18</v>
      </c>
      <c r="O353">
        <v>653</v>
      </c>
      <c r="P353">
        <v>9.5</v>
      </c>
      <c r="Q353">
        <v>5</v>
      </c>
      <c r="R353" s="7" t="str">
        <f>IF(AllDataApr[[#This Row],[Nitrate (PPM)]]&gt;2, "Very high", IF(AllDataApr[[#This Row],[Nitrate (PPM)]]&gt;1, "High", IF(AllDataApr[[#This Row],[Nitrate (PPM)]]&gt;0.5, "Some evidence", IF(AllDataApr[[#This Row],[Nitrate (PPM)]]&gt;0, "No evidence", IF(AllDataApr[[#This Row],[Nitrate (PPM)]]=0, "")))))</f>
        <v>Very high</v>
      </c>
      <c r="S353">
        <v>0.26</v>
      </c>
      <c r="T353" s="7" t="str">
        <f>IF(AllDataApr[[#This Row],[Phosphate (PPM)]]&gt;0.5, "Very high", IF(AllDataApr[[#This Row],[Phosphate (PPM)]]&gt;0.1, "High", IF(AllDataApr[[#This Row],[Phosphate (PPM)]]&gt;0.05, "Some evidence", IF(AllDataApr[[#This Row],[Phosphate (PPM)]]=0, ""))))</f>
        <v>High</v>
      </c>
      <c r="U353">
        <v>1.5</v>
      </c>
    </row>
    <row r="354" spans="1:22" x14ac:dyDescent="0.3">
      <c r="A354" t="s">
        <v>576</v>
      </c>
      <c r="B354" s="2">
        <v>45317</v>
      </c>
      <c r="C354" s="2" t="str" cm="1">
        <f t="array" ref="C35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54">
        <f>YEAR(AllDataApr[[#This Row],[Date]])</f>
        <v>2024</v>
      </c>
      <c r="E354" s="1">
        <v>0.45902777777777776</v>
      </c>
      <c r="F354" s="2" t="str">
        <f>IF(AND(AllDataApr[[#This Row],[Time]]&lt;0.5, AllDataApr[[#This Row],[Time]]&gt;0.17)=TRUE, "Morning", IF(AND(AllDataApr[[#This Row],[Time]]&lt;0.75, AllDataApr[[#This Row],[Time]]&gt;=0.5)=TRUE, "Afternoon", IF(AND(AllDataApr[[#This Row],[Time]]&lt;1, AllDataApr[[#This Row],[Time]]&gt;=0.75)=TRUE, "Evening", "Night")))</f>
        <v>Morning</v>
      </c>
      <c r="G354" t="s">
        <v>221</v>
      </c>
      <c r="H354" t="str">
        <f>_xlfn.XLOOKUP(AllDataApr[[#This Row],[Location Name]], Locations[Row Labels],Locations[Group As])</f>
        <v>Lower Lode</v>
      </c>
      <c r="I354" t="str">
        <f>_xlfn.XLOOKUP(AllDataApr[[#This Row],[Site Name]],LocationsKey[Site Name],LocationsKey[Region])</f>
        <v>Tewkesbury</v>
      </c>
      <c r="J354" t="str">
        <f>_xlfn.XLOOKUP(AllDataApr[[#This Row],[Site Name]],LocationsKey[Site Name], LocationsKey[Waterway])</f>
        <v>Avon</v>
      </c>
      <c r="K354" t="s">
        <v>234</v>
      </c>
      <c r="L354">
        <v>51.985100000000003</v>
      </c>
      <c r="M354">
        <v>-2.1742699999999999</v>
      </c>
      <c r="N354" t="s">
        <v>18</v>
      </c>
      <c r="O354">
        <v>822</v>
      </c>
      <c r="P354">
        <v>9</v>
      </c>
      <c r="Q354">
        <v>10</v>
      </c>
      <c r="R354" s="7" t="str">
        <f>IF(AllDataApr[[#This Row],[Nitrate (PPM)]]&gt;2, "Very high", IF(AllDataApr[[#This Row],[Nitrate (PPM)]]&gt;1, "High", IF(AllDataApr[[#This Row],[Nitrate (PPM)]]&gt;0.5, "Some evidence", IF(AllDataApr[[#This Row],[Nitrate (PPM)]]&gt;0, "No evidence", IF(AllDataApr[[#This Row],[Nitrate (PPM)]]=0, "")))))</f>
        <v>Very high</v>
      </c>
      <c r="S354">
        <v>0.28999999999999998</v>
      </c>
      <c r="T354" s="7" t="str">
        <f>IF(AllDataApr[[#This Row],[Phosphate (PPM)]]&gt;0.5, "Very high", IF(AllDataApr[[#This Row],[Phosphate (PPM)]]&gt;0.1, "High", IF(AllDataApr[[#This Row],[Phosphate (PPM)]]&gt;0.05, "Some evidence", IF(AllDataApr[[#This Row],[Phosphate (PPM)]]=0, ""))))</f>
        <v>High</v>
      </c>
      <c r="U354">
        <v>2</v>
      </c>
      <c r="V354" t="s">
        <v>253</v>
      </c>
    </row>
    <row r="355" spans="1:22" x14ac:dyDescent="0.3">
      <c r="A355" t="s">
        <v>575</v>
      </c>
      <c r="B355" s="2">
        <v>45317</v>
      </c>
      <c r="C355" s="2" t="str" cm="1">
        <f t="array" ref="C35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55">
        <f>YEAR(AllDataApr[[#This Row],[Date]])</f>
        <v>2024</v>
      </c>
      <c r="E355" s="1">
        <v>0.64236111111111116</v>
      </c>
      <c r="F355" s="2" t="str">
        <f>IF(AND(AllDataApr[[#This Row],[Time]]&lt;0.5, AllDataApr[[#This Row],[Time]]&gt;0.17)=TRUE, "Morning", IF(AND(AllDataApr[[#This Row],[Time]]&lt;0.75, AllDataApr[[#This Row],[Time]]&gt;=0.5)=TRUE, "Afternoon", IF(AND(AllDataApr[[#This Row],[Time]]&lt;1, AllDataApr[[#This Row],[Time]]&gt;=0.75)=TRUE, "Evening", "Night")))</f>
        <v>Afternoon</v>
      </c>
      <c r="G355" t="s">
        <v>16</v>
      </c>
      <c r="H355" t="str">
        <f>_xlfn.XLOOKUP(AllDataApr[[#This Row],[Location Name]], Locations[Row Labels],Locations[Group As])</f>
        <v>Twyning Fleet</v>
      </c>
      <c r="I355" t="str">
        <f>_xlfn.XLOOKUP(AllDataApr[[#This Row],[Site Name]],LocationsKey[Site Name],LocationsKey[Region])</f>
        <v>Tewkesbury</v>
      </c>
      <c r="J355" t="str">
        <f>_xlfn.XLOOKUP(AllDataApr[[#This Row],[Site Name]],LocationsKey[Site Name], LocationsKey[Waterway])</f>
        <v>Avon</v>
      </c>
      <c r="K355" t="s">
        <v>32</v>
      </c>
      <c r="L355">
        <v>52.027436999999999</v>
      </c>
      <c r="M355">
        <v>-2.1407449999999999</v>
      </c>
      <c r="N355" t="s">
        <v>18</v>
      </c>
      <c r="O355">
        <v>1580</v>
      </c>
      <c r="P355">
        <v>10.4</v>
      </c>
      <c r="Q355">
        <v>3</v>
      </c>
      <c r="R355" s="7" t="str">
        <f>IF(AllDataApr[[#This Row],[Nitrate (PPM)]]&gt;2, "Very high", IF(AllDataApr[[#This Row],[Nitrate (PPM)]]&gt;1, "High", IF(AllDataApr[[#This Row],[Nitrate (PPM)]]&gt;0.5, "Some evidence", IF(AllDataApr[[#This Row],[Nitrate (PPM)]]&gt;0, "No evidence", IF(AllDataApr[[#This Row],[Nitrate (PPM)]]=0, "")))))</f>
        <v>Very high</v>
      </c>
      <c r="S355">
        <v>0.68</v>
      </c>
      <c r="T355" s="7" t="str">
        <f>IF(AllDataApr[[#This Row],[Phosphate (PPM)]]&gt;0.5, "Very high", IF(AllDataApr[[#This Row],[Phosphate (PPM)]]&gt;0.1, "High", IF(AllDataApr[[#This Row],[Phosphate (PPM)]]&gt;0.05, "Some evidence", IF(AllDataApr[[#This Row],[Phosphate (PPM)]]=0, ""))))</f>
        <v>Very high</v>
      </c>
      <c r="U355">
        <v>0</v>
      </c>
      <c r="V355" t="s">
        <v>252</v>
      </c>
    </row>
    <row r="356" spans="1:22" x14ac:dyDescent="0.3">
      <c r="A356" t="s">
        <v>536</v>
      </c>
      <c r="B356" s="2">
        <v>45318</v>
      </c>
      <c r="C356" s="2" t="str" cm="1">
        <f t="array" ref="C35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56">
        <f>YEAR(AllDataApr[[#This Row],[Date]])</f>
        <v>2024</v>
      </c>
      <c r="E356" s="1">
        <v>0.46458333333333335</v>
      </c>
      <c r="F356" s="2" t="str">
        <f>IF(AND(AllDataApr[[#This Row],[Time]]&lt;0.5, AllDataApr[[#This Row],[Time]]&gt;0.17)=TRUE, "Morning", IF(AND(AllDataApr[[#This Row],[Time]]&lt;0.75, AllDataApr[[#This Row],[Time]]&gt;=0.5)=TRUE, "Afternoon", IF(AND(AllDataApr[[#This Row],[Time]]&lt;1, AllDataApr[[#This Row],[Time]]&gt;=0.75)=TRUE, "Evening", "Night")))</f>
        <v>Morning</v>
      </c>
      <c r="G356" t="s">
        <v>219</v>
      </c>
      <c r="H356" t="str">
        <f>_xlfn.XLOOKUP(AllDataApr[[#This Row],[Location Name]], Locations[Row Labels],Locations[Group As])</f>
        <v>The Ford, Langley</v>
      </c>
      <c r="I356" t="str">
        <f>_xlfn.XLOOKUP(AllDataApr[[#This Row],[Site Name]],LocationsKey[Site Name],LocationsKey[Region])</f>
        <v>Henley-in-Arden</v>
      </c>
      <c r="J356" t="str">
        <f>_xlfn.XLOOKUP(AllDataApr[[#This Row],[Site Name]],LocationsKey[Site Name], LocationsKey[Waterway])</f>
        <v>Langley Ford</v>
      </c>
      <c r="K356" t="s">
        <v>230</v>
      </c>
      <c r="L356">
        <v>52.259639</v>
      </c>
      <c r="M356">
        <v>-1.7181999999999999</v>
      </c>
      <c r="N356" t="s">
        <v>18</v>
      </c>
      <c r="O356">
        <v>705</v>
      </c>
      <c r="P356">
        <v>6.9</v>
      </c>
      <c r="Q356">
        <v>5</v>
      </c>
      <c r="R356" s="7" t="str">
        <f>IF(AllDataApr[[#This Row],[Nitrate (PPM)]]&gt;2, "Very high", IF(AllDataApr[[#This Row],[Nitrate (PPM)]]&gt;1, "High", IF(AllDataApr[[#This Row],[Nitrate (PPM)]]&gt;0.5, "Some evidence", IF(AllDataApr[[#This Row],[Nitrate (PPM)]]&gt;0, "No evidence", IF(AllDataApr[[#This Row],[Nitrate (PPM)]]=0, "")))))</f>
        <v>Very high</v>
      </c>
      <c r="S356">
        <v>0.62</v>
      </c>
      <c r="T356" s="7" t="str">
        <f>IF(AllDataApr[[#This Row],[Phosphate (PPM)]]&gt;0.5, "Very high", IF(AllDataApr[[#This Row],[Phosphate (PPM)]]&gt;0.1, "High", IF(AllDataApr[[#This Row],[Phosphate (PPM)]]&gt;0.05, "Some evidence", IF(AllDataApr[[#This Row],[Phosphate (PPM)]]=0, ""))))</f>
        <v>Very high</v>
      </c>
      <c r="U356">
        <v>0.32</v>
      </c>
      <c r="V356" t="s">
        <v>254</v>
      </c>
    </row>
    <row r="357" spans="1:22" x14ac:dyDescent="0.3">
      <c r="A357" t="s">
        <v>574</v>
      </c>
      <c r="B357" s="2">
        <v>45318</v>
      </c>
      <c r="C357" s="2" t="str" cm="1">
        <f t="array" ref="C35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57">
        <f>YEAR(AllDataApr[[#This Row],[Date]])</f>
        <v>2024</v>
      </c>
      <c r="E357" s="1">
        <v>0.46805555555555556</v>
      </c>
      <c r="F357" s="2" t="str">
        <f>IF(AND(AllDataApr[[#This Row],[Time]]&lt;0.5, AllDataApr[[#This Row],[Time]]&gt;0.17)=TRUE, "Morning", IF(AND(AllDataApr[[#This Row],[Time]]&lt;0.75, AllDataApr[[#This Row],[Time]]&gt;=0.5)=TRUE, "Afternoon", IF(AND(AllDataApr[[#This Row],[Time]]&lt;1, AllDataApr[[#This Row],[Time]]&gt;=0.75)=TRUE, "Evening", "Night")))</f>
        <v>Morning</v>
      </c>
      <c r="G357" t="s">
        <v>11</v>
      </c>
      <c r="H357" t="str">
        <f>_xlfn.XLOOKUP(AllDataApr[[#This Row],[Location Name]], Locations[Row Labels],Locations[Group As])</f>
        <v>Black Bear</v>
      </c>
      <c r="I357" t="str">
        <f>_xlfn.XLOOKUP(AllDataApr[[#This Row],[Site Name]],LocationsKey[Site Name],LocationsKey[Region])</f>
        <v>Tewkesbury</v>
      </c>
      <c r="J357" t="str">
        <f>_xlfn.XLOOKUP(AllDataApr[[#This Row],[Site Name]],LocationsKey[Site Name], LocationsKey[Waterway])</f>
        <v>Avon</v>
      </c>
      <c r="K357" t="s">
        <v>231</v>
      </c>
      <c r="L357">
        <v>51.997509000000001</v>
      </c>
      <c r="M357">
        <v>-2.1560800000000002</v>
      </c>
      <c r="N357" t="s">
        <v>200</v>
      </c>
      <c r="O357">
        <v>834</v>
      </c>
      <c r="P357">
        <v>8.3000000000000007</v>
      </c>
      <c r="Q357">
        <v>9</v>
      </c>
      <c r="R357" s="7" t="str">
        <f>IF(AllDataApr[[#This Row],[Nitrate (PPM)]]&gt;2, "Very high", IF(AllDataApr[[#This Row],[Nitrate (PPM)]]&gt;1, "High", IF(AllDataApr[[#This Row],[Nitrate (PPM)]]&gt;0.5, "Some evidence", IF(AllDataApr[[#This Row],[Nitrate (PPM)]]&gt;0, "No evidence", IF(AllDataApr[[#This Row],[Nitrate (PPM)]]=0, "")))))</f>
        <v>Very high</v>
      </c>
      <c r="S357">
        <v>0.83</v>
      </c>
      <c r="T357" s="7" t="str">
        <f>IF(AllDataApr[[#This Row],[Phosphate (PPM)]]&gt;0.5, "Very high", IF(AllDataApr[[#This Row],[Phosphate (PPM)]]&gt;0.1, "High", IF(AllDataApr[[#This Row],[Phosphate (PPM)]]&gt;0.05, "Some evidence", IF(AllDataApr[[#This Row],[Phosphate (PPM)]]=0, ""))))</f>
        <v>Very high</v>
      </c>
      <c r="U357">
        <v>0</v>
      </c>
    </row>
    <row r="358" spans="1:22" x14ac:dyDescent="0.3">
      <c r="A358" t="s">
        <v>565</v>
      </c>
      <c r="B358" s="2">
        <v>45318</v>
      </c>
      <c r="C358" s="2" t="str" cm="1">
        <f t="array" ref="C35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58">
        <f>YEAR(AllDataApr[[#This Row],[Date]])</f>
        <v>2024</v>
      </c>
      <c r="E358" s="1">
        <v>0.5</v>
      </c>
      <c r="F358" s="2" t="str">
        <f>IF(AND(AllDataApr[[#This Row],[Time]]&lt;0.5, AllDataApr[[#This Row],[Time]]&gt;0.17)=TRUE, "Morning", IF(AND(AllDataApr[[#This Row],[Time]]&lt;0.75, AllDataApr[[#This Row],[Time]]&gt;=0.5)=TRUE, "Afternoon", IF(AND(AllDataApr[[#This Row],[Time]]&lt;1, AllDataApr[[#This Row],[Time]]&gt;=0.75)=TRUE, "Evening", "Night")))</f>
        <v>Afternoon</v>
      </c>
      <c r="G358" t="s">
        <v>52</v>
      </c>
      <c r="H358" t="str">
        <f>_xlfn.XLOOKUP(AllDataApr[[#This Row],[Location Name]], Locations[Row Labels],Locations[Group As])</f>
        <v>Carrant Bredon Rd</v>
      </c>
      <c r="I358" t="str">
        <f>_xlfn.XLOOKUP(AllDataApr[[#This Row],[Site Name]],LocationsKey[Site Name],LocationsKey[Region])</f>
        <v>Tewkesbury</v>
      </c>
      <c r="J358" t="str">
        <f>_xlfn.XLOOKUP(AllDataApr[[#This Row],[Site Name]],LocationsKey[Site Name], LocationsKey[Waterway])</f>
        <v>Carrant</v>
      </c>
      <c r="K358" t="s">
        <v>179</v>
      </c>
      <c r="L358">
        <v>51.996360000000003</v>
      </c>
      <c r="M358">
        <v>-2.1560489999999999</v>
      </c>
      <c r="N358" t="s">
        <v>200</v>
      </c>
      <c r="O358">
        <v>772</v>
      </c>
      <c r="P358">
        <v>8.1</v>
      </c>
      <c r="Q358">
        <v>4</v>
      </c>
      <c r="R358" s="7" t="str">
        <f>IF(AllDataApr[[#This Row],[Nitrate (PPM)]]&gt;2, "Very high", IF(AllDataApr[[#This Row],[Nitrate (PPM)]]&gt;1, "High", IF(AllDataApr[[#This Row],[Nitrate (PPM)]]&gt;0.5, "Some evidence", IF(AllDataApr[[#This Row],[Nitrate (PPM)]]&gt;0, "No evidence", IF(AllDataApr[[#This Row],[Nitrate (PPM)]]=0, "")))))</f>
        <v>Very high</v>
      </c>
      <c r="S358">
        <v>0.2</v>
      </c>
      <c r="T358" s="7" t="str">
        <f>IF(AllDataApr[[#This Row],[Phosphate (PPM)]]&gt;0.5, "Very high", IF(AllDataApr[[#This Row],[Phosphate (PPM)]]&gt;0.1, "High", IF(AllDataApr[[#This Row],[Phosphate (PPM)]]&gt;0.05, "Some evidence", IF(AllDataApr[[#This Row],[Phosphate (PPM)]]=0, ""))))</f>
        <v>High</v>
      </c>
      <c r="U358">
        <v>0.3</v>
      </c>
    </row>
    <row r="359" spans="1:22" x14ac:dyDescent="0.3">
      <c r="A359" t="s">
        <v>562</v>
      </c>
      <c r="B359" s="2">
        <v>45319</v>
      </c>
      <c r="C359" s="2" t="str" cm="1">
        <f t="array" ref="C35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59">
        <f>YEAR(AllDataApr[[#This Row],[Date]])</f>
        <v>2024</v>
      </c>
      <c r="E359" s="1">
        <v>0.4513888888888889</v>
      </c>
      <c r="F359" s="2" t="str">
        <f>IF(AND(AllDataApr[[#This Row],[Time]]&lt;0.5, AllDataApr[[#This Row],[Time]]&gt;0.17)=TRUE, "Morning", IF(AND(AllDataApr[[#This Row],[Time]]&lt;0.75, AllDataApr[[#This Row],[Time]]&gt;=0.5)=TRUE, "Afternoon", IF(AND(AllDataApr[[#This Row],[Time]]&lt;1, AllDataApr[[#This Row],[Time]]&gt;=0.75)=TRUE, "Evening", "Night")))</f>
        <v>Morning</v>
      </c>
      <c r="G359" t="s">
        <v>218</v>
      </c>
      <c r="H359" t="str">
        <f>_xlfn.XLOOKUP(AllDataApr[[#This Row],[Location Name]], Locations[Row Labels],Locations[Group As])</f>
        <v>Fell Mill Footbridge</v>
      </c>
      <c r="I359" t="str">
        <f>_xlfn.XLOOKUP(AllDataApr[[#This Row],[Site Name]],LocationsKey[Site Name],LocationsKey[Region])</f>
        <v>Shipston</v>
      </c>
      <c r="J359" t="str">
        <f>_xlfn.XLOOKUP(AllDataApr[[#This Row],[Site Name]],LocationsKey[Site Name], LocationsKey[Waterway])</f>
        <v>Stour</v>
      </c>
      <c r="K359" t="s">
        <v>227</v>
      </c>
      <c r="L359">
        <v>52.070131000000003</v>
      </c>
      <c r="M359">
        <v>-1.6114869999999999</v>
      </c>
      <c r="N359" t="s">
        <v>200</v>
      </c>
      <c r="O359">
        <v>622</v>
      </c>
      <c r="P359">
        <v>6.9</v>
      </c>
      <c r="Q359">
        <v>5</v>
      </c>
      <c r="R359" s="7" t="str">
        <f>IF(AllDataApr[[#This Row],[Nitrate (PPM)]]&gt;2, "Very high", IF(AllDataApr[[#This Row],[Nitrate (PPM)]]&gt;1, "High", IF(AllDataApr[[#This Row],[Nitrate (PPM)]]&gt;0.5, "Some evidence", IF(AllDataApr[[#This Row],[Nitrate (PPM)]]&gt;0, "No evidence", IF(AllDataApr[[#This Row],[Nitrate (PPM)]]=0, "")))))</f>
        <v>Very high</v>
      </c>
      <c r="S359">
        <v>0.19</v>
      </c>
      <c r="T359" s="7" t="str">
        <f>IF(AllDataApr[[#This Row],[Phosphate (PPM)]]&gt;0.5, "Very high", IF(AllDataApr[[#This Row],[Phosphate (PPM)]]&gt;0.1, "High", IF(AllDataApr[[#This Row],[Phosphate (PPM)]]&gt;0.05, "Some evidence", IF(AllDataApr[[#This Row],[Phosphate (PPM)]]=0, ""))))</f>
        <v>High</v>
      </c>
      <c r="U359">
        <v>1.22</v>
      </c>
    </row>
    <row r="360" spans="1:22" x14ac:dyDescent="0.3">
      <c r="A360" t="s">
        <v>567</v>
      </c>
      <c r="B360" s="2">
        <v>45319</v>
      </c>
      <c r="C360" s="2" t="str" cm="1">
        <f t="array" ref="C36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60">
        <f>YEAR(AllDataApr[[#This Row],[Date]])</f>
        <v>2024</v>
      </c>
      <c r="E360" s="1">
        <v>0.58402777777777781</v>
      </c>
      <c r="F360" s="2" t="str">
        <f>IF(AND(AllDataApr[[#This Row],[Time]]&lt;0.5, AllDataApr[[#This Row],[Time]]&gt;0.17)=TRUE, "Morning", IF(AND(AllDataApr[[#This Row],[Time]]&lt;0.75, AllDataApr[[#This Row],[Time]]&gt;=0.5)=TRUE, "Afternoon", IF(AND(AllDataApr[[#This Row],[Time]]&lt;1, AllDataApr[[#This Row],[Time]]&gt;=0.75)=TRUE, "Evening", "Night")))</f>
        <v>Afternoon</v>
      </c>
      <c r="G360" t="s">
        <v>223</v>
      </c>
      <c r="H360" t="str">
        <f>_xlfn.XLOOKUP(AllDataApr[[#This Row],[Location Name]], Locations[Row Labels],Locations[Group As])</f>
        <v>Abbey Mill</v>
      </c>
      <c r="I360" t="str">
        <f>_xlfn.XLOOKUP(AllDataApr[[#This Row],[Site Name]],LocationsKey[Site Name],LocationsKey[Region])</f>
        <v>Tewkesbury</v>
      </c>
      <c r="J360" t="str">
        <f>_xlfn.XLOOKUP(AllDataApr[[#This Row],[Site Name]],LocationsKey[Site Name], LocationsKey[Waterway])</f>
        <v>Avon</v>
      </c>
      <c r="K360" t="s">
        <v>13</v>
      </c>
      <c r="L360">
        <v>51.991171999999999</v>
      </c>
      <c r="M360">
        <v>-2.162588</v>
      </c>
      <c r="N360" t="s">
        <v>18</v>
      </c>
      <c r="O360">
        <v>793</v>
      </c>
      <c r="P360">
        <v>8.8000000000000007</v>
      </c>
      <c r="Q360">
        <v>5</v>
      </c>
      <c r="R360" s="7" t="str">
        <f>IF(AllDataApr[[#This Row],[Nitrate (PPM)]]&gt;2, "Very high", IF(AllDataApr[[#This Row],[Nitrate (PPM)]]&gt;1, "High", IF(AllDataApr[[#This Row],[Nitrate (PPM)]]&gt;0.5, "Some evidence", IF(AllDataApr[[#This Row],[Nitrate (PPM)]]&gt;0, "No evidence", IF(AllDataApr[[#This Row],[Nitrate (PPM)]]=0, "")))))</f>
        <v>Very high</v>
      </c>
      <c r="S360">
        <v>0.69</v>
      </c>
      <c r="T360" s="7" t="str">
        <f>IF(AllDataApr[[#This Row],[Phosphate (PPM)]]&gt;0.5, "Very high", IF(AllDataApr[[#This Row],[Phosphate (PPM)]]&gt;0.1, "High", IF(AllDataApr[[#This Row],[Phosphate (PPM)]]&gt;0.05, "Some evidence", IF(AllDataApr[[#This Row],[Phosphate (PPM)]]=0, ""))))</f>
        <v>Very high</v>
      </c>
      <c r="U360">
        <v>0.5</v>
      </c>
    </row>
    <row r="361" spans="1:22" x14ac:dyDescent="0.3">
      <c r="A361" t="s">
        <v>566</v>
      </c>
      <c r="B361" s="2">
        <v>45319</v>
      </c>
      <c r="C361" s="2" t="str" cm="1">
        <f t="array" ref="C36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61">
        <f>YEAR(AllDataApr[[#This Row],[Date]])</f>
        <v>2024</v>
      </c>
      <c r="E361" s="1">
        <v>0.61805555555555558</v>
      </c>
      <c r="F361" s="2" t="str">
        <f>IF(AND(AllDataApr[[#This Row],[Time]]&lt;0.5, AllDataApr[[#This Row],[Time]]&gt;0.17)=TRUE, "Morning", IF(AND(AllDataApr[[#This Row],[Time]]&lt;0.75, AllDataApr[[#This Row],[Time]]&gt;=0.5)=TRUE, "Afternoon", IF(AND(AllDataApr[[#This Row],[Time]]&lt;1, AllDataApr[[#This Row],[Time]]&gt;=0.75)=TRUE, "Evening", "Night")))</f>
        <v>Afternoon</v>
      </c>
      <c r="G361" t="s">
        <v>112</v>
      </c>
      <c r="H361" t="str">
        <f>_xlfn.XLOOKUP(AllDataApr[[#This Row],[Location Name]], Locations[Row Labels],Locations[Group As])</f>
        <v>Clifford Chambers Mill Bridge</v>
      </c>
      <c r="I361" t="str">
        <f>_xlfn.XLOOKUP(AllDataApr[[#This Row],[Site Name]],LocationsKey[Site Name],LocationsKey[Region])</f>
        <v>Stratford</v>
      </c>
      <c r="J361" t="str">
        <f>_xlfn.XLOOKUP(AllDataApr[[#This Row],[Site Name]],LocationsKey[Site Name], LocationsKey[Waterway])</f>
        <v>Stour</v>
      </c>
      <c r="K361" t="s">
        <v>119</v>
      </c>
      <c r="L361">
        <v>52.166370000000001</v>
      </c>
      <c r="M361">
        <v>-1.708032</v>
      </c>
      <c r="N361" t="s">
        <v>1047</v>
      </c>
      <c r="O361">
        <v>640</v>
      </c>
      <c r="P361">
        <v>9.5</v>
      </c>
      <c r="Q361">
        <v>7</v>
      </c>
      <c r="R361" s="7" t="str">
        <f>IF(AllDataApr[[#This Row],[Nitrate (PPM)]]&gt;2, "Very high", IF(AllDataApr[[#This Row],[Nitrate (PPM)]]&gt;1, "High", IF(AllDataApr[[#This Row],[Nitrate (PPM)]]&gt;0.5, "Some evidence", IF(AllDataApr[[#This Row],[Nitrate (PPM)]]&gt;0, "No evidence", IF(AllDataApr[[#This Row],[Nitrate (PPM)]]=0, "")))))</f>
        <v>Very high</v>
      </c>
      <c r="S361">
        <v>0.65</v>
      </c>
      <c r="T361" s="7" t="str">
        <f>IF(AllDataApr[[#This Row],[Phosphate (PPM)]]&gt;0.5, "Very high", IF(AllDataApr[[#This Row],[Phosphate (PPM)]]&gt;0.1, "High", IF(AllDataApr[[#This Row],[Phosphate (PPM)]]&gt;0.05, "Some evidence", IF(AllDataApr[[#This Row],[Phosphate (PPM)]]=0, ""))))</f>
        <v>Very high</v>
      </c>
      <c r="U361">
        <v>0.8</v>
      </c>
      <c r="V361" t="s">
        <v>243</v>
      </c>
    </row>
    <row r="362" spans="1:22" x14ac:dyDescent="0.3">
      <c r="A362" t="s">
        <v>499</v>
      </c>
      <c r="B362" s="2">
        <v>45319</v>
      </c>
      <c r="C362" s="2" t="str" cm="1">
        <f t="array" ref="C36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62">
        <f>YEAR(AllDataApr[[#This Row],[Date]])</f>
        <v>2024</v>
      </c>
      <c r="E362" s="1">
        <v>0.625</v>
      </c>
      <c r="F362" s="2" t="str">
        <f>IF(AND(AllDataApr[[#This Row],[Time]]&lt;0.5, AllDataApr[[#This Row],[Time]]&gt;0.17)=TRUE, "Morning", IF(AND(AllDataApr[[#This Row],[Time]]&lt;0.75, AllDataApr[[#This Row],[Time]]&gt;=0.5)=TRUE, "Afternoon", IF(AND(AllDataApr[[#This Row],[Time]]&lt;1, AllDataApr[[#This Row],[Time]]&gt;=0.75)=TRUE, "Evening", "Night")))</f>
        <v>Afternoon</v>
      </c>
      <c r="G362" t="s">
        <v>275</v>
      </c>
      <c r="H362" t="str">
        <f>_xlfn.XLOOKUP(AllDataApr[[#This Row],[Location Name]], Locations[Row Labels],Locations[Group As])</f>
        <v>Sherbourne Brook 1</v>
      </c>
      <c r="I362" t="str">
        <f>_xlfn.XLOOKUP(AllDataApr[[#This Row],[Site Name]],LocationsKey[Site Name],LocationsKey[Region])</f>
        <v>Stratford</v>
      </c>
      <c r="J362" t="str">
        <f>_xlfn.XLOOKUP(AllDataApr[[#This Row],[Site Name]],LocationsKey[Site Name], LocationsKey[Waterway])</f>
        <v>Sherbourne Brook</v>
      </c>
      <c r="K362" t="s">
        <v>280</v>
      </c>
      <c r="N362" t="s">
        <v>200</v>
      </c>
      <c r="O362">
        <v>1060</v>
      </c>
      <c r="P362">
        <v>8.9</v>
      </c>
      <c r="Q362">
        <v>6</v>
      </c>
      <c r="R362" s="7" t="str">
        <f>IF(AllDataApr[[#This Row],[Nitrate (PPM)]]&gt;2, "Very high", IF(AllDataApr[[#This Row],[Nitrate (PPM)]]&gt;1, "High", IF(AllDataApr[[#This Row],[Nitrate (PPM)]]&gt;0.5, "Some evidence", IF(AllDataApr[[#This Row],[Nitrate (PPM)]]&gt;0, "No evidence", IF(AllDataApr[[#This Row],[Nitrate (PPM)]]=0, "")))))</f>
        <v>Very high</v>
      </c>
      <c r="S362">
        <v>0.43</v>
      </c>
      <c r="T362" s="7" t="str">
        <f>IF(AllDataApr[[#This Row],[Phosphate (PPM)]]&gt;0.5, "Very high", IF(AllDataApr[[#This Row],[Phosphate (PPM)]]&gt;0.1, "High", IF(AllDataApr[[#This Row],[Phosphate (PPM)]]&gt;0.05, "Some evidence", IF(AllDataApr[[#This Row],[Phosphate (PPM)]]=0, ""))))</f>
        <v>High</v>
      </c>
      <c r="U362">
        <v>0.5</v>
      </c>
    </row>
    <row r="363" spans="1:22" x14ac:dyDescent="0.3">
      <c r="A363" t="s">
        <v>498</v>
      </c>
      <c r="B363" s="2">
        <v>45319</v>
      </c>
      <c r="C363" s="2" t="str" cm="1">
        <f t="array" ref="C36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63">
        <f>YEAR(AllDataApr[[#This Row],[Date]])</f>
        <v>2024</v>
      </c>
      <c r="E363" s="1">
        <v>0.63541666666666663</v>
      </c>
      <c r="F363" s="2" t="str">
        <f>IF(AND(AllDataApr[[#This Row],[Time]]&lt;0.5, AllDataApr[[#This Row],[Time]]&gt;0.17)=TRUE, "Morning", IF(AND(AllDataApr[[#This Row],[Time]]&lt;0.75, AllDataApr[[#This Row],[Time]]&gt;=0.5)=TRUE, "Afternoon", IF(AND(AllDataApr[[#This Row],[Time]]&lt;1, AllDataApr[[#This Row],[Time]]&gt;=0.75)=TRUE, "Evening", "Night")))</f>
        <v>Afternoon</v>
      </c>
      <c r="G363" t="s">
        <v>275</v>
      </c>
      <c r="H363" t="str">
        <f>_xlfn.XLOOKUP(AllDataApr[[#This Row],[Location Name]], Locations[Row Labels],Locations[Group As])</f>
        <v>Bell Brook 1</v>
      </c>
      <c r="I363" t="str">
        <f>_xlfn.XLOOKUP(AllDataApr[[#This Row],[Site Name]],LocationsKey[Site Name],LocationsKey[Region])</f>
        <v>Stratford</v>
      </c>
      <c r="J363" t="str">
        <f>_xlfn.XLOOKUP(AllDataApr[[#This Row],[Site Name]],LocationsKey[Site Name], LocationsKey[Waterway])</f>
        <v>Bell Brook</v>
      </c>
      <c r="K363" t="s">
        <v>279</v>
      </c>
      <c r="N363" t="s">
        <v>200</v>
      </c>
      <c r="O363">
        <v>710</v>
      </c>
      <c r="P363">
        <v>8.8000000000000007</v>
      </c>
      <c r="Q363">
        <v>8</v>
      </c>
      <c r="R363" s="7" t="str">
        <f>IF(AllDataApr[[#This Row],[Nitrate (PPM)]]&gt;2, "Very high", IF(AllDataApr[[#This Row],[Nitrate (PPM)]]&gt;1, "High", IF(AllDataApr[[#This Row],[Nitrate (PPM)]]&gt;0.5, "Some evidence", IF(AllDataApr[[#This Row],[Nitrate (PPM)]]&gt;0, "No evidence", IF(AllDataApr[[#This Row],[Nitrate (PPM)]]=0, "")))))</f>
        <v>Very high</v>
      </c>
      <c r="S363">
        <v>0.31</v>
      </c>
      <c r="T363" s="7" t="str">
        <f>IF(AllDataApr[[#This Row],[Phosphate (PPM)]]&gt;0.5, "Very high", IF(AllDataApr[[#This Row],[Phosphate (PPM)]]&gt;0.1, "High", IF(AllDataApr[[#This Row],[Phosphate (PPM)]]&gt;0.05, "Some evidence", IF(AllDataApr[[#This Row],[Phosphate (PPM)]]=0, ""))))</f>
        <v>High</v>
      </c>
      <c r="U363">
        <v>0.5</v>
      </c>
    </row>
    <row r="364" spans="1:22" x14ac:dyDescent="0.3">
      <c r="A364" t="s">
        <v>564</v>
      </c>
      <c r="B364" s="2">
        <v>45320</v>
      </c>
      <c r="C364" s="2" t="str" cm="1">
        <f t="array" ref="C36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64">
        <f>YEAR(AllDataApr[[#This Row],[Date]])</f>
        <v>2024</v>
      </c>
      <c r="E364" s="1">
        <v>0.40416666666666667</v>
      </c>
      <c r="F364" s="2" t="str">
        <f>IF(AND(AllDataApr[[#This Row],[Time]]&lt;0.5, AllDataApr[[#This Row],[Time]]&gt;0.17)=TRUE, "Morning", IF(AND(AllDataApr[[#This Row],[Time]]&lt;0.75, AllDataApr[[#This Row],[Time]]&gt;=0.5)=TRUE, "Afternoon", IF(AND(AllDataApr[[#This Row],[Time]]&lt;1, AllDataApr[[#This Row],[Time]]&gt;=0.75)=TRUE, "Evening", "Night")))</f>
        <v>Morning</v>
      </c>
      <c r="G364" t="s">
        <v>150</v>
      </c>
      <c r="H364" t="str">
        <f>_xlfn.XLOOKUP(AllDataApr[[#This Row],[Location Name]], Locations[Row Labels],Locations[Group As])</f>
        <v>Stour Stretton-on-Fosse Village</v>
      </c>
      <c r="I364" t="str">
        <f>_xlfn.XLOOKUP(AllDataApr[[#This Row],[Site Name]],LocationsKey[Site Name],LocationsKey[Region])</f>
        <v>Shipston</v>
      </c>
      <c r="J364" t="str">
        <f>_xlfn.XLOOKUP(AllDataApr[[#This Row],[Site Name]],LocationsKey[Site Name], LocationsKey[Waterway])</f>
        <v>Stour</v>
      </c>
      <c r="K364" t="s">
        <v>198</v>
      </c>
      <c r="L364">
        <v>52.046531000000002</v>
      </c>
      <c r="M364">
        <v>-1.673367</v>
      </c>
      <c r="N364" t="s">
        <v>42</v>
      </c>
      <c r="O364">
        <v>698</v>
      </c>
      <c r="P364">
        <v>9.1</v>
      </c>
      <c r="Q364">
        <v>3</v>
      </c>
      <c r="R364" s="7" t="str">
        <f>IF(AllDataApr[[#This Row],[Nitrate (PPM)]]&gt;2, "Very high", IF(AllDataApr[[#This Row],[Nitrate (PPM)]]&gt;1, "High", IF(AllDataApr[[#This Row],[Nitrate (PPM)]]&gt;0.5, "Some evidence", IF(AllDataApr[[#This Row],[Nitrate (PPM)]]&gt;0, "No evidence", IF(AllDataApr[[#This Row],[Nitrate (PPM)]]=0, "")))))</f>
        <v>Very high</v>
      </c>
      <c r="S364">
        <v>1.1499999999999999</v>
      </c>
      <c r="T364" s="7" t="str">
        <f>IF(AllDataApr[[#This Row],[Phosphate (PPM)]]&gt;0.5, "Very high", IF(AllDataApr[[#This Row],[Phosphate (PPM)]]&gt;0.1, "High", IF(AllDataApr[[#This Row],[Phosphate (PPM)]]&gt;0.05, "Some evidence", IF(AllDataApr[[#This Row],[Phosphate (PPM)]]=0, ""))))</f>
        <v>Very high</v>
      </c>
      <c r="U364">
        <v>0.15</v>
      </c>
    </row>
    <row r="365" spans="1:22" x14ac:dyDescent="0.3">
      <c r="A365" t="s">
        <v>563</v>
      </c>
      <c r="B365" s="2">
        <v>45320</v>
      </c>
      <c r="C365" s="2" t="str" cm="1">
        <f t="array" ref="C36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65">
        <f>YEAR(AllDataApr[[#This Row],[Date]])</f>
        <v>2024</v>
      </c>
      <c r="E365" s="1">
        <v>0.42291666666666666</v>
      </c>
      <c r="F365" s="2" t="str">
        <f>IF(AND(AllDataApr[[#This Row],[Time]]&lt;0.5, AllDataApr[[#This Row],[Time]]&gt;0.17)=TRUE, "Morning", IF(AND(AllDataApr[[#This Row],[Time]]&lt;0.75, AllDataApr[[#This Row],[Time]]&gt;=0.5)=TRUE, "Afternoon", IF(AND(AllDataApr[[#This Row],[Time]]&lt;1, AllDataApr[[#This Row],[Time]]&gt;=0.75)=TRUE, "Evening", "Night")))</f>
        <v>Morning</v>
      </c>
      <c r="G365" t="s">
        <v>150</v>
      </c>
      <c r="H365" t="str">
        <f>_xlfn.XLOOKUP(AllDataApr[[#This Row],[Location Name]], Locations[Row Labels],Locations[Group As])</f>
        <v>Stour Stretton-on-Fosse Sewage Works</v>
      </c>
      <c r="I365" t="str">
        <f>_xlfn.XLOOKUP(AllDataApr[[#This Row],[Site Name]],LocationsKey[Site Name],LocationsKey[Region])</f>
        <v>Shipston</v>
      </c>
      <c r="J365" t="str">
        <f>_xlfn.XLOOKUP(AllDataApr[[#This Row],[Site Name]],LocationsKey[Site Name], LocationsKey[Waterway])</f>
        <v>Stour</v>
      </c>
      <c r="K365" t="s">
        <v>151</v>
      </c>
      <c r="L365">
        <v>52.045636000000002</v>
      </c>
      <c r="M365">
        <v>-1.6719679999999999</v>
      </c>
      <c r="N365" t="s">
        <v>18</v>
      </c>
      <c r="O365">
        <v>741</v>
      </c>
      <c r="P365">
        <v>9.6999999999999993</v>
      </c>
      <c r="Q365">
        <v>4</v>
      </c>
      <c r="R365" s="7" t="str">
        <f>IF(AllDataApr[[#This Row],[Nitrate (PPM)]]&gt;2, "Very high", IF(AllDataApr[[#This Row],[Nitrate (PPM)]]&gt;1, "High", IF(AllDataApr[[#This Row],[Nitrate (PPM)]]&gt;0.5, "Some evidence", IF(AllDataApr[[#This Row],[Nitrate (PPM)]]&gt;0, "No evidence", IF(AllDataApr[[#This Row],[Nitrate (PPM)]]=0, "")))))</f>
        <v>Very high</v>
      </c>
      <c r="S365">
        <v>2.5</v>
      </c>
      <c r="T365" s="7" t="str">
        <f>IF(AllDataApr[[#This Row],[Phosphate (PPM)]]&gt;0.5, "Very high", IF(AllDataApr[[#This Row],[Phosphate (PPM)]]&gt;0.1, "High", IF(AllDataApr[[#This Row],[Phosphate (PPM)]]&gt;0.05, "Some evidence", IF(AllDataApr[[#This Row],[Phosphate (PPM)]]=0, ""))))</f>
        <v>Very high</v>
      </c>
      <c r="U365">
        <v>0.25</v>
      </c>
    </row>
    <row r="366" spans="1:22" x14ac:dyDescent="0.3">
      <c r="A366" t="s">
        <v>546</v>
      </c>
      <c r="B366" s="2">
        <v>45322</v>
      </c>
      <c r="C366" s="2" t="str" cm="1">
        <f t="array" ref="C36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66">
        <f>YEAR(AllDataApr[[#This Row],[Date]])</f>
        <v>2024</v>
      </c>
      <c r="E366" s="1">
        <v>0.48958333333333331</v>
      </c>
      <c r="F366" s="2" t="str">
        <f>IF(AND(AllDataApr[[#This Row],[Time]]&lt;0.5, AllDataApr[[#This Row],[Time]]&gt;0.17)=TRUE, "Morning", IF(AND(AllDataApr[[#This Row],[Time]]&lt;0.75, AllDataApr[[#This Row],[Time]]&gt;=0.5)=TRUE, "Afternoon", IF(AND(AllDataApr[[#This Row],[Time]]&lt;1, AllDataApr[[#This Row],[Time]]&gt;=0.75)=TRUE, "Evening", "Night")))</f>
        <v>Morning</v>
      </c>
      <c r="G366" t="s">
        <v>46</v>
      </c>
      <c r="H366" t="str">
        <f>_xlfn.XLOOKUP(AllDataApr[[#This Row],[Location Name]], Locations[Row Labels],Locations[Group As])</f>
        <v>Swilgate</v>
      </c>
      <c r="I366" t="str">
        <f>_xlfn.XLOOKUP(AllDataApr[[#This Row],[Site Name]],LocationsKey[Site Name],LocationsKey[Region])</f>
        <v>Tewkesbury</v>
      </c>
      <c r="J366" t="str">
        <f>_xlfn.XLOOKUP(AllDataApr[[#This Row],[Site Name]],LocationsKey[Site Name], LocationsKey[Waterway])</f>
        <v>Swilgate</v>
      </c>
      <c r="K366" t="s">
        <v>47</v>
      </c>
      <c r="N366" t="s">
        <v>200</v>
      </c>
      <c r="O366">
        <v>105</v>
      </c>
      <c r="P366">
        <v>9</v>
      </c>
      <c r="Q366">
        <v>3</v>
      </c>
      <c r="R366" s="7" t="str">
        <f>IF(AllDataApr[[#This Row],[Nitrate (PPM)]]&gt;2, "Very high", IF(AllDataApr[[#This Row],[Nitrate (PPM)]]&gt;1, "High", IF(AllDataApr[[#This Row],[Nitrate (PPM)]]&gt;0.5, "Some evidence", IF(AllDataApr[[#This Row],[Nitrate (PPM)]]&gt;0, "No evidence", IF(AllDataApr[[#This Row],[Nitrate (PPM)]]=0, "")))))</f>
        <v>Very high</v>
      </c>
      <c r="S366">
        <v>0.49</v>
      </c>
      <c r="T366" s="7" t="str">
        <f>IF(AllDataApr[[#This Row],[Phosphate (PPM)]]&gt;0.5, "Very high", IF(AllDataApr[[#This Row],[Phosphate (PPM)]]&gt;0.1, "High", IF(AllDataApr[[#This Row],[Phosphate (PPM)]]&gt;0.05, "Some evidence", IF(AllDataApr[[#This Row],[Phosphate (PPM)]]=0, ""))))</f>
        <v>High</v>
      </c>
      <c r="U366">
        <v>0</v>
      </c>
    </row>
    <row r="367" spans="1:22" x14ac:dyDescent="0.3">
      <c r="A367" t="s">
        <v>529</v>
      </c>
      <c r="B367" s="2">
        <v>45322</v>
      </c>
      <c r="C367" s="2" t="str" cm="1">
        <f t="array" ref="C36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67">
        <f>YEAR(AllDataApr[[#This Row],[Date]])</f>
        <v>2024</v>
      </c>
      <c r="E367" s="1">
        <v>0.60416666666666663</v>
      </c>
      <c r="F367" s="2" t="str">
        <f>IF(AND(AllDataApr[[#This Row],[Time]]&lt;0.5, AllDataApr[[#This Row],[Time]]&gt;0.17)=TRUE, "Morning", IF(AND(AllDataApr[[#This Row],[Time]]&lt;0.75, AllDataApr[[#This Row],[Time]]&gt;=0.5)=TRUE, "Afternoon", IF(AND(AllDataApr[[#This Row],[Time]]&lt;1, AllDataApr[[#This Row],[Time]]&gt;=0.75)=TRUE, "Evening", "Night")))</f>
        <v>Afternoon</v>
      </c>
      <c r="G367" t="s">
        <v>57</v>
      </c>
      <c r="H367" t="str">
        <f>_xlfn.XLOOKUP(AllDataApr[[#This Row],[Location Name]], Locations[Row Labels],Locations[Group As])</f>
        <v>Stour Newbold Mill</v>
      </c>
      <c r="I367" t="str">
        <f>_xlfn.XLOOKUP(AllDataApr[[#This Row],[Site Name]],LocationsKey[Site Name],LocationsKey[Region])</f>
        <v>Shipston</v>
      </c>
      <c r="J367" t="str">
        <f>_xlfn.XLOOKUP(AllDataApr[[#This Row],[Site Name]],LocationsKey[Site Name], LocationsKey[Waterway])</f>
        <v>Stour</v>
      </c>
      <c r="K367" t="s">
        <v>66</v>
      </c>
      <c r="L367">
        <v>52.112769999999998</v>
      </c>
      <c r="M367">
        <v>-1.6335170000000001</v>
      </c>
      <c r="N367" t="s">
        <v>18</v>
      </c>
      <c r="O367">
        <v>678</v>
      </c>
      <c r="P367">
        <v>8.3000000000000007</v>
      </c>
      <c r="Q367">
        <v>5</v>
      </c>
      <c r="R367" s="7" t="str">
        <f>IF(AllDataApr[[#This Row],[Nitrate (PPM)]]&gt;2, "Very high", IF(AllDataApr[[#This Row],[Nitrate (PPM)]]&gt;1, "High", IF(AllDataApr[[#This Row],[Nitrate (PPM)]]&gt;0.5, "Some evidence", IF(AllDataApr[[#This Row],[Nitrate (PPM)]]&gt;0, "No evidence", IF(AllDataApr[[#This Row],[Nitrate (PPM)]]=0, "")))))</f>
        <v>Very high</v>
      </c>
      <c r="S367">
        <v>0.23</v>
      </c>
      <c r="T367" s="7" t="str">
        <f>IF(AllDataApr[[#This Row],[Phosphate (PPM)]]&gt;0.5, "Very high", IF(AllDataApr[[#This Row],[Phosphate (PPM)]]&gt;0.1, "High", IF(AllDataApr[[#This Row],[Phosphate (PPM)]]&gt;0.05, "Some evidence", IF(AllDataApr[[#This Row],[Phosphate (PPM)]]=0, ""))))</f>
        <v>High</v>
      </c>
      <c r="U367">
        <v>2.5</v>
      </c>
      <c r="V367" t="s">
        <v>255</v>
      </c>
    </row>
    <row r="368" spans="1:22" x14ac:dyDescent="0.3">
      <c r="A368" t="s">
        <v>550</v>
      </c>
      <c r="B368" s="2">
        <v>45323</v>
      </c>
      <c r="C368" s="2" t="str" cm="1">
        <f t="array" ref="C36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68">
        <f>YEAR(AllDataApr[[#This Row],[Date]])</f>
        <v>2024</v>
      </c>
      <c r="E368" s="1">
        <v>0.46805555555555556</v>
      </c>
      <c r="F368" s="2" t="str">
        <f>IF(AND(AllDataApr[[#This Row],[Time]]&lt;0.5, AllDataApr[[#This Row],[Time]]&gt;0.17)=TRUE, "Morning", IF(AND(AllDataApr[[#This Row],[Time]]&lt;0.75, AllDataApr[[#This Row],[Time]]&gt;=0.5)=TRUE, "Afternoon", IF(AND(AllDataApr[[#This Row],[Time]]&lt;1, AllDataApr[[#This Row],[Time]]&gt;=0.75)=TRUE, "Evening", "Night")))</f>
        <v>Morning</v>
      </c>
      <c r="G368" t="s">
        <v>220</v>
      </c>
      <c r="H368" t="str">
        <f>_xlfn.XLOOKUP(AllDataApr[[#This Row],[Location Name]], Locations[Row Labels],Locations[Group As])</f>
        <v>Stour Willington</v>
      </c>
      <c r="I368" t="str">
        <f>_xlfn.XLOOKUP(AllDataApr[[#This Row],[Site Name]],LocationsKey[Site Name],LocationsKey[Region])</f>
        <v>Shipston</v>
      </c>
      <c r="J368" t="str">
        <f>_xlfn.XLOOKUP(AllDataApr[[#This Row],[Site Name]],LocationsKey[Site Name], LocationsKey[Waterway])</f>
        <v>Stour</v>
      </c>
      <c r="K368" t="s">
        <v>197</v>
      </c>
      <c r="L368">
        <v>52.051000000000002</v>
      </c>
      <c r="M368">
        <v>-1.6140000000000001</v>
      </c>
      <c r="O368">
        <v>628</v>
      </c>
      <c r="P368">
        <v>10</v>
      </c>
      <c r="Q368">
        <v>2</v>
      </c>
      <c r="R368" s="7" t="str">
        <f>IF(AllDataApr[[#This Row],[Nitrate (PPM)]]&gt;2, "Very high", IF(AllDataApr[[#This Row],[Nitrate (PPM)]]&gt;1, "High", IF(AllDataApr[[#This Row],[Nitrate (PPM)]]&gt;0.5, "Some evidence", IF(AllDataApr[[#This Row],[Nitrate (PPM)]]&gt;0, "No evidence", IF(AllDataApr[[#This Row],[Nitrate (PPM)]]=0, "")))))</f>
        <v>High</v>
      </c>
      <c r="S368">
        <v>0.2</v>
      </c>
      <c r="T368" s="7" t="str">
        <f>IF(AllDataApr[[#This Row],[Phosphate (PPM)]]&gt;0.5, "Very high", IF(AllDataApr[[#This Row],[Phosphate (PPM)]]&gt;0.1, "High", IF(AllDataApr[[#This Row],[Phosphate (PPM)]]&gt;0.05, "Some evidence", IF(AllDataApr[[#This Row],[Phosphate (PPM)]]=0, ""))))</f>
        <v>High</v>
      </c>
      <c r="U368">
        <v>0.5</v>
      </c>
    </row>
    <row r="369" spans="1:22" x14ac:dyDescent="0.3">
      <c r="A369" t="s">
        <v>561</v>
      </c>
      <c r="B369" s="2">
        <v>45323</v>
      </c>
      <c r="C369" s="2" t="str" cm="1">
        <f t="array" ref="C36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69">
        <f>YEAR(AllDataApr[[#This Row],[Date]])</f>
        <v>2024</v>
      </c>
      <c r="E369" s="1">
        <v>0.61597222222222225</v>
      </c>
      <c r="F369" s="2" t="str">
        <f>IF(AND(AllDataApr[[#This Row],[Time]]&lt;0.5, AllDataApr[[#This Row],[Time]]&gt;0.17)=TRUE, "Morning", IF(AND(AllDataApr[[#This Row],[Time]]&lt;0.75, AllDataApr[[#This Row],[Time]]&gt;=0.5)=TRUE, "Afternoon", IF(AND(AllDataApr[[#This Row],[Time]]&lt;1, AllDataApr[[#This Row],[Time]]&gt;=0.75)=TRUE, "Evening", "Night")))</f>
        <v>Afternoon</v>
      </c>
      <c r="G369" t="s">
        <v>139</v>
      </c>
      <c r="H369" t="str">
        <f>_xlfn.XLOOKUP(AllDataApr[[#This Row],[Location Name]], Locations[Row Labels],Locations[Group As])</f>
        <v>Swiffen Bank</v>
      </c>
      <c r="I369" t="str">
        <f>_xlfn.XLOOKUP(AllDataApr[[#This Row],[Site Name]],LocationsKey[Site Name],LocationsKey[Region])</f>
        <v>Stratford</v>
      </c>
      <c r="J369" t="str">
        <f>_xlfn.XLOOKUP(AllDataApr[[#This Row],[Site Name]],LocationsKey[Site Name], LocationsKey[Waterway])</f>
        <v>Avon</v>
      </c>
      <c r="K369" t="s">
        <v>130</v>
      </c>
      <c r="L369">
        <v>52.206384</v>
      </c>
      <c r="M369">
        <v>-1.6540969999999999</v>
      </c>
      <c r="N369" t="s">
        <v>18</v>
      </c>
      <c r="O369">
        <v>668</v>
      </c>
      <c r="P369">
        <v>8.8000000000000007</v>
      </c>
      <c r="Q369">
        <v>5</v>
      </c>
      <c r="R369" s="7" t="str">
        <f>IF(AllDataApr[[#This Row],[Nitrate (PPM)]]&gt;2, "Very high", IF(AllDataApr[[#This Row],[Nitrate (PPM)]]&gt;1, "High", IF(AllDataApr[[#This Row],[Nitrate (PPM)]]&gt;0.5, "Some evidence", IF(AllDataApr[[#This Row],[Nitrate (PPM)]]&gt;0, "No evidence", IF(AllDataApr[[#This Row],[Nitrate (PPM)]]=0, "")))))</f>
        <v>Very high</v>
      </c>
      <c r="S369">
        <v>0.53</v>
      </c>
      <c r="T369" s="7" t="str">
        <f>IF(AllDataApr[[#This Row],[Phosphate (PPM)]]&gt;0.5, "Very high", IF(AllDataApr[[#This Row],[Phosphate (PPM)]]&gt;0.1, "High", IF(AllDataApr[[#This Row],[Phosphate (PPM)]]&gt;0.05, "Some evidence", IF(AllDataApr[[#This Row],[Phosphate (PPM)]]=0, ""))))</f>
        <v>Very high</v>
      </c>
      <c r="U369">
        <v>0</v>
      </c>
      <c r="V369" t="s">
        <v>256</v>
      </c>
    </row>
    <row r="370" spans="1:22" x14ac:dyDescent="0.3">
      <c r="A370" t="s">
        <v>542</v>
      </c>
      <c r="B370" s="2">
        <v>45323</v>
      </c>
      <c r="C370" s="2" t="str" cm="1">
        <f t="array" ref="C37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70">
        <f>YEAR(AllDataApr[[#This Row],[Date]])</f>
        <v>2024</v>
      </c>
      <c r="E370" s="1">
        <v>0.64583333333333337</v>
      </c>
      <c r="F370" s="2" t="str">
        <f>IF(AND(AllDataApr[[#This Row],[Time]]&lt;0.5, AllDataApr[[#This Row],[Time]]&gt;0.17)=TRUE, "Morning", IF(AND(AllDataApr[[#This Row],[Time]]&lt;0.75, AllDataApr[[#This Row],[Time]]&gt;=0.5)=TRUE, "Afternoon", IF(AND(AllDataApr[[#This Row],[Time]]&lt;1, AllDataApr[[#This Row],[Time]]&gt;=0.75)=TRUE, "Evening", "Night")))</f>
        <v>Afternoon</v>
      </c>
      <c r="G370" t="s">
        <v>906</v>
      </c>
      <c r="H370" t="str">
        <f>_xlfn.XLOOKUP(AllDataApr[[#This Row],[Location Name]], Locations[Row Labels],Locations[Group As])</f>
        <v>Preston Bagot Canal</v>
      </c>
      <c r="I370" t="str">
        <f>_xlfn.XLOOKUP(AllDataApr[[#This Row],[Site Name]],LocationsKey[Site Name],LocationsKey[Region])</f>
        <v>Henley-in-Arden</v>
      </c>
      <c r="J370" t="str">
        <f>_xlfn.XLOOKUP(AllDataApr[[#This Row],[Site Name]],LocationsKey[Site Name], LocationsKey[Waterway])</f>
        <v>Preston Bagot Canal</v>
      </c>
      <c r="K370" t="s">
        <v>922</v>
      </c>
      <c r="N370" t="s">
        <v>200</v>
      </c>
      <c r="O370">
        <v>351</v>
      </c>
      <c r="P370">
        <v>9.6999999999999993</v>
      </c>
      <c r="Q370">
        <v>2.5</v>
      </c>
      <c r="R370" s="7" t="str">
        <f>IF(AllDataApr[[#This Row],[Nitrate (PPM)]]&gt;2, "Very high", IF(AllDataApr[[#This Row],[Nitrate (PPM)]]&gt;1, "High", IF(AllDataApr[[#This Row],[Nitrate (PPM)]]&gt;0.5, "Some evidence", IF(AllDataApr[[#This Row],[Nitrate (PPM)]]&gt;0, "No evidence", IF(AllDataApr[[#This Row],[Nitrate (PPM)]]=0, "")))))</f>
        <v>Very high</v>
      </c>
      <c r="S370">
        <v>0.25</v>
      </c>
      <c r="T370" s="7" t="str">
        <f>IF(AllDataApr[[#This Row],[Phosphate (PPM)]]&gt;0.5, "Very high", IF(AllDataApr[[#This Row],[Phosphate (PPM)]]&gt;0.1, "High", IF(AllDataApr[[#This Row],[Phosphate (PPM)]]&gt;0.05, "Some evidence", IF(AllDataApr[[#This Row],[Phosphate (PPM)]]=0, ""))))</f>
        <v>High</v>
      </c>
      <c r="U370">
        <v>0</v>
      </c>
    </row>
    <row r="371" spans="1:22" x14ac:dyDescent="0.3">
      <c r="A371" t="s">
        <v>560</v>
      </c>
      <c r="B371" s="2">
        <v>45323</v>
      </c>
      <c r="C371" s="2" t="str" cm="1">
        <f t="array" ref="C37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71">
        <f>YEAR(AllDataApr[[#This Row],[Date]])</f>
        <v>2024</v>
      </c>
      <c r="E371" s="1">
        <v>0.65277777777777779</v>
      </c>
      <c r="F371" s="2" t="str">
        <f>IF(AND(AllDataApr[[#This Row],[Time]]&lt;0.5, AllDataApr[[#This Row],[Time]]&gt;0.17)=TRUE, "Morning", IF(AND(AllDataApr[[#This Row],[Time]]&lt;0.75, AllDataApr[[#This Row],[Time]]&gt;=0.5)=TRUE, "Afternoon", IF(AND(AllDataApr[[#This Row],[Time]]&lt;1, AllDataApr[[#This Row],[Time]]&gt;=0.75)=TRUE, "Evening", "Night")))</f>
        <v>Afternoon</v>
      </c>
      <c r="G371" t="s">
        <v>156</v>
      </c>
      <c r="H371" t="str">
        <f>_xlfn.XLOOKUP(AllDataApr[[#This Row],[Location Name]], Locations[Row Labels],Locations[Group As])</f>
        <v>Alveston Weir</v>
      </c>
      <c r="I371" t="str">
        <f>_xlfn.XLOOKUP(AllDataApr[[#This Row],[Site Name]],LocationsKey[Site Name],LocationsKey[Region])</f>
        <v>Stratford</v>
      </c>
      <c r="J371" t="str">
        <f>_xlfn.XLOOKUP(AllDataApr[[#This Row],[Site Name]],LocationsKey[Site Name], LocationsKey[Waterway])</f>
        <v>Avon</v>
      </c>
      <c r="K371" t="s">
        <v>128</v>
      </c>
      <c r="L371">
        <v>52.212288999999998</v>
      </c>
      <c r="M371">
        <v>-1.660452</v>
      </c>
      <c r="N371" t="s">
        <v>18</v>
      </c>
      <c r="O371">
        <v>689</v>
      </c>
      <c r="P371">
        <v>8.5</v>
      </c>
      <c r="Q371">
        <v>5</v>
      </c>
      <c r="R371" s="7" t="str">
        <f>IF(AllDataApr[[#This Row],[Nitrate (PPM)]]&gt;2, "Very high", IF(AllDataApr[[#This Row],[Nitrate (PPM)]]&gt;1, "High", IF(AllDataApr[[#This Row],[Nitrate (PPM)]]&gt;0.5, "Some evidence", IF(AllDataApr[[#This Row],[Nitrate (PPM)]]&gt;0, "No evidence", IF(AllDataApr[[#This Row],[Nitrate (PPM)]]=0, "")))))</f>
        <v>Very high</v>
      </c>
      <c r="S371">
        <v>0.6</v>
      </c>
      <c r="T371" s="7" t="str">
        <f>IF(AllDataApr[[#This Row],[Phosphate (PPM)]]&gt;0.5, "Very high", IF(AllDataApr[[#This Row],[Phosphate (PPM)]]&gt;0.1, "High", IF(AllDataApr[[#This Row],[Phosphate (PPM)]]&gt;0.05, "Some evidence", IF(AllDataApr[[#This Row],[Phosphate (PPM)]]=0, ""))))</f>
        <v>Very high</v>
      </c>
      <c r="U371">
        <v>-0.5</v>
      </c>
    </row>
    <row r="372" spans="1:22" x14ac:dyDescent="0.3">
      <c r="A372" t="s">
        <v>541</v>
      </c>
      <c r="B372" s="2">
        <v>45323</v>
      </c>
      <c r="C372" s="2" t="str" cm="1">
        <f t="array" ref="C37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72">
        <f>YEAR(AllDataApr[[#This Row],[Date]])</f>
        <v>2024</v>
      </c>
      <c r="E372" s="1">
        <v>0.65625</v>
      </c>
      <c r="F372" s="2" t="str">
        <f>IF(AND(AllDataApr[[#This Row],[Time]]&lt;0.5, AllDataApr[[#This Row],[Time]]&gt;0.17)=TRUE, "Morning", IF(AND(AllDataApr[[#This Row],[Time]]&lt;0.75, AllDataApr[[#This Row],[Time]]&gt;=0.5)=TRUE, "Afternoon", IF(AND(AllDataApr[[#This Row],[Time]]&lt;1, AllDataApr[[#This Row],[Time]]&gt;=0.75)=TRUE, "Evening", "Night")))</f>
        <v>Afternoon</v>
      </c>
      <c r="G372" t="s">
        <v>906</v>
      </c>
      <c r="H372" t="str">
        <f>_xlfn.XLOOKUP(AllDataApr[[#This Row],[Location Name]], Locations[Row Labels],Locations[Group As])</f>
        <v>Preston Bagot Brook</v>
      </c>
      <c r="I372" t="str">
        <f>_xlfn.XLOOKUP(AllDataApr[[#This Row],[Site Name]],LocationsKey[Site Name],LocationsKey[Region])</f>
        <v>Henley-in-Arden</v>
      </c>
      <c r="J372" t="str">
        <f>_xlfn.XLOOKUP(AllDataApr[[#This Row],[Site Name]],LocationsKey[Site Name], LocationsKey[Waterway])</f>
        <v>Preston Bagot Brook</v>
      </c>
      <c r="K372" t="s">
        <v>921</v>
      </c>
      <c r="N372" t="s">
        <v>200</v>
      </c>
      <c r="O372">
        <v>805</v>
      </c>
      <c r="P372">
        <v>10.4</v>
      </c>
      <c r="Q372">
        <v>2.5</v>
      </c>
      <c r="R372" s="7" t="str">
        <f>IF(AllDataApr[[#This Row],[Nitrate (PPM)]]&gt;2, "Very high", IF(AllDataApr[[#This Row],[Nitrate (PPM)]]&gt;1, "High", IF(AllDataApr[[#This Row],[Nitrate (PPM)]]&gt;0.5, "Some evidence", IF(AllDataApr[[#This Row],[Nitrate (PPM)]]&gt;0, "No evidence", IF(AllDataApr[[#This Row],[Nitrate (PPM)]]=0, "")))))</f>
        <v>Very high</v>
      </c>
      <c r="S372">
        <v>0.56999999999999995</v>
      </c>
      <c r="T372" s="7" t="str">
        <f>IF(AllDataApr[[#This Row],[Phosphate (PPM)]]&gt;0.5, "Very high", IF(AllDataApr[[#This Row],[Phosphate (PPM)]]&gt;0.1, "High", IF(AllDataApr[[#This Row],[Phosphate (PPM)]]&gt;0.05, "Some evidence", IF(AllDataApr[[#This Row],[Phosphate (PPM)]]=0, ""))))</f>
        <v>Very high</v>
      </c>
      <c r="U372">
        <v>0</v>
      </c>
    </row>
    <row r="373" spans="1:22" x14ac:dyDescent="0.3">
      <c r="A373" t="s">
        <v>535</v>
      </c>
      <c r="B373" s="2">
        <v>45325</v>
      </c>
      <c r="C373" s="2" t="str" cm="1">
        <f t="array" ref="C37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73">
        <f>YEAR(AllDataApr[[#This Row],[Date]])</f>
        <v>2024</v>
      </c>
      <c r="E373" s="1">
        <v>0.42291666666666666</v>
      </c>
      <c r="F373" s="2" t="str">
        <f>IF(AND(AllDataApr[[#This Row],[Time]]&lt;0.5, AllDataApr[[#This Row],[Time]]&gt;0.17)=TRUE, "Morning", IF(AND(AllDataApr[[#This Row],[Time]]&lt;0.75, AllDataApr[[#This Row],[Time]]&gt;=0.5)=TRUE, "Afternoon", IF(AND(AllDataApr[[#This Row],[Time]]&lt;1, AllDataApr[[#This Row],[Time]]&gt;=0.75)=TRUE, "Evening", "Night")))</f>
        <v>Morning</v>
      </c>
      <c r="G373" t="s">
        <v>219</v>
      </c>
      <c r="H373" t="str">
        <f>_xlfn.XLOOKUP(AllDataApr[[#This Row],[Location Name]], Locations[Row Labels],Locations[Group As])</f>
        <v>The Ford, Langley</v>
      </c>
      <c r="I373" t="str">
        <f>_xlfn.XLOOKUP(AllDataApr[[#This Row],[Site Name]],LocationsKey[Site Name],LocationsKey[Region])</f>
        <v>Henley-in-Arden</v>
      </c>
      <c r="J373" t="str">
        <f>_xlfn.XLOOKUP(AllDataApr[[#This Row],[Site Name]],LocationsKey[Site Name], LocationsKey[Waterway])</f>
        <v>Langley Ford</v>
      </c>
      <c r="K373" t="s">
        <v>230</v>
      </c>
      <c r="L373">
        <v>52.259639</v>
      </c>
      <c r="M373">
        <v>-1.7181999999999999</v>
      </c>
      <c r="N373" t="s">
        <v>18</v>
      </c>
      <c r="O373">
        <v>762</v>
      </c>
      <c r="P373">
        <v>9.5</v>
      </c>
      <c r="Q373">
        <v>5</v>
      </c>
      <c r="R373" s="7" t="str">
        <f>IF(AllDataApr[[#This Row],[Nitrate (PPM)]]&gt;2, "Very high", IF(AllDataApr[[#This Row],[Nitrate (PPM)]]&gt;1, "High", IF(AllDataApr[[#This Row],[Nitrate (PPM)]]&gt;0.5, "Some evidence", IF(AllDataApr[[#This Row],[Nitrate (PPM)]]&gt;0, "No evidence", IF(AllDataApr[[#This Row],[Nitrate (PPM)]]=0, "")))))</f>
        <v>Very high</v>
      </c>
      <c r="S373">
        <v>0.6</v>
      </c>
      <c r="T373" s="7" t="str">
        <f>IF(AllDataApr[[#This Row],[Phosphate (PPM)]]&gt;0.5, "Very high", IF(AllDataApr[[#This Row],[Phosphate (PPM)]]&gt;0.1, "High", IF(AllDataApr[[#This Row],[Phosphate (PPM)]]&gt;0.05, "Some evidence", IF(AllDataApr[[#This Row],[Phosphate (PPM)]]=0, ""))))</f>
        <v>Very high</v>
      </c>
      <c r="U373">
        <v>0.28000000000000003</v>
      </c>
      <c r="V373" t="s">
        <v>254</v>
      </c>
    </row>
    <row r="374" spans="1:22" x14ac:dyDescent="0.3">
      <c r="A374" t="s">
        <v>559</v>
      </c>
      <c r="B374" s="2">
        <v>45325</v>
      </c>
      <c r="C374" s="2" t="str" cm="1">
        <f t="array" ref="C37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74">
        <f>YEAR(AllDataApr[[#This Row],[Date]])</f>
        <v>2024</v>
      </c>
      <c r="E374" s="1">
        <v>0.45833333333333331</v>
      </c>
      <c r="F374" s="2" t="str">
        <f>IF(AND(AllDataApr[[#This Row],[Time]]&lt;0.5, AllDataApr[[#This Row],[Time]]&gt;0.17)=TRUE, "Morning", IF(AND(AllDataApr[[#This Row],[Time]]&lt;0.75, AllDataApr[[#This Row],[Time]]&gt;=0.5)=TRUE, "Afternoon", IF(AND(AllDataApr[[#This Row],[Time]]&lt;1, AllDataApr[[#This Row],[Time]]&gt;=0.75)=TRUE, "Evening", "Night")))</f>
        <v>Morning</v>
      </c>
      <c r="G374" t="s">
        <v>38</v>
      </c>
      <c r="H374" t="str">
        <f>_xlfn.XLOOKUP(AllDataApr[[#This Row],[Location Name]], Locations[Row Labels],Locations[Group As])</f>
        <v>Pitch 16</v>
      </c>
      <c r="I374" t="str">
        <f>_xlfn.XLOOKUP(AllDataApr[[#This Row],[Site Name]],LocationsKey[Site Name],LocationsKey[Region])</f>
        <v>Stratford</v>
      </c>
      <c r="J374" t="str">
        <f>_xlfn.XLOOKUP(AllDataApr[[#This Row],[Site Name]],LocationsKey[Site Name], LocationsKey[Waterway])</f>
        <v>Avon</v>
      </c>
      <c r="K374" t="s">
        <v>39</v>
      </c>
      <c r="L374">
        <v>52.179012999999998</v>
      </c>
      <c r="M374">
        <v>-1.7339249999999999</v>
      </c>
      <c r="N374" t="s">
        <v>18</v>
      </c>
      <c r="O374">
        <v>917</v>
      </c>
      <c r="P374">
        <v>10.4</v>
      </c>
      <c r="Q374">
        <v>5</v>
      </c>
      <c r="R374" s="7" t="str">
        <f>IF(AllDataApr[[#This Row],[Nitrate (PPM)]]&gt;2, "Very high", IF(AllDataApr[[#This Row],[Nitrate (PPM)]]&gt;1, "High", IF(AllDataApr[[#This Row],[Nitrate (PPM)]]&gt;0.5, "Some evidence", IF(AllDataApr[[#This Row],[Nitrate (PPM)]]&gt;0, "No evidence", IF(AllDataApr[[#This Row],[Nitrate (PPM)]]=0, "")))))</f>
        <v>Very high</v>
      </c>
      <c r="S374">
        <v>0.92</v>
      </c>
      <c r="T374" s="7" t="str">
        <f>IF(AllDataApr[[#This Row],[Phosphate (PPM)]]&gt;0.5, "Very high", IF(AllDataApr[[#This Row],[Phosphate (PPM)]]&gt;0.1, "High", IF(AllDataApr[[#This Row],[Phosphate (PPM)]]&gt;0.05, "Some evidence", IF(AllDataApr[[#This Row],[Phosphate (PPM)]]=0, ""))))</f>
        <v>Very high</v>
      </c>
      <c r="U374">
        <v>0.65</v>
      </c>
      <c r="V374" t="s">
        <v>257</v>
      </c>
    </row>
    <row r="375" spans="1:22" x14ac:dyDescent="0.3">
      <c r="A375" s="11" t="s">
        <v>558</v>
      </c>
      <c r="B375" s="2">
        <v>45325</v>
      </c>
      <c r="C375" s="2" t="str" cm="1">
        <f t="array" ref="C37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75">
        <f>YEAR(AllDataApr[[#This Row],[Date]])</f>
        <v>2024</v>
      </c>
      <c r="E375" s="1">
        <v>0.47361111111111109</v>
      </c>
      <c r="F375" s="2" t="str">
        <f>IF(AND(AllDataApr[[#This Row],[Time]]&lt;0.5, AllDataApr[[#This Row],[Time]]&gt;0.17)=TRUE, "Morning", IF(AND(AllDataApr[[#This Row],[Time]]&lt;0.75, AllDataApr[[#This Row],[Time]]&gt;=0.5)=TRUE, "Afternoon", IF(AND(AllDataApr[[#This Row],[Time]]&lt;1, AllDataApr[[#This Row],[Time]]&gt;=0.75)=TRUE, "Evening", "Night")))</f>
        <v>Morning</v>
      </c>
      <c r="G375" t="s">
        <v>38</v>
      </c>
      <c r="H375" t="str">
        <f>_xlfn.XLOOKUP(AllDataApr[[#This Row],[Location Name]], Locations[Row Labels],Locations[Group As])</f>
        <v>Avonbank Drive</v>
      </c>
      <c r="I375" t="str">
        <f>_xlfn.XLOOKUP(AllDataApr[[#This Row],[Site Name]],LocationsKey[Site Name],LocationsKey[Region])</f>
        <v>Stratford</v>
      </c>
      <c r="J375" t="str">
        <f>_xlfn.XLOOKUP(AllDataApr[[#This Row],[Site Name]],LocationsKey[Site Name], LocationsKey[Waterway])</f>
        <v>Avon</v>
      </c>
      <c r="K375" t="s">
        <v>41</v>
      </c>
      <c r="L375">
        <v>52.177281999999998</v>
      </c>
      <c r="M375">
        <v>-1.7353700000000001</v>
      </c>
      <c r="N375" t="s">
        <v>42</v>
      </c>
      <c r="O375">
        <v>937</v>
      </c>
      <c r="P375">
        <v>10.8</v>
      </c>
      <c r="Q375">
        <v>10</v>
      </c>
      <c r="R375" s="7" t="str">
        <f>IF(AllDataApr[[#This Row],[Nitrate (PPM)]]&gt;2, "Very high", IF(AllDataApr[[#This Row],[Nitrate (PPM)]]&gt;1, "High", IF(AllDataApr[[#This Row],[Nitrate (PPM)]]&gt;0.5, "Some evidence", IF(AllDataApr[[#This Row],[Nitrate (PPM)]]&gt;0, "No evidence", IF(AllDataApr[[#This Row],[Nitrate (PPM)]]=0, "")))))</f>
        <v>Very high</v>
      </c>
      <c r="S375">
        <v>0.54</v>
      </c>
      <c r="T375" s="7" t="str">
        <f>IF(AllDataApr[[#This Row],[Phosphate (PPM)]]&gt;0.5, "Very high", IF(AllDataApr[[#This Row],[Phosphate (PPM)]]&gt;0.1, "High", IF(AllDataApr[[#This Row],[Phosphate (PPM)]]&gt;0.05, "Some evidence", IF(AllDataApr[[#This Row],[Phosphate (PPM)]]=0, ""))))</f>
        <v>Very high</v>
      </c>
      <c r="U375">
        <v>0.65</v>
      </c>
    </row>
    <row r="376" spans="1:22" x14ac:dyDescent="0.3">
      <c r="A376" t="s">
        <v>556</v>
      </c>
      <c r="B376" s="2">
        <v>45325</v>
      </c>
      <c r="C376" s="2" t="str" cm="1">
        <f t="array" ref="C37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76">
        <f>YEAR(AllDataApr[[#This Row],[Date]])</f>
        <v>2024</v>
      </c>
      <c r="E376" s="1">
        <v>0.48958333333333331</v>
      </c>
      <c r="F376" s="2" t="str">
        <f>IF(AND(AllDataApr[[#This Row],[Time]]&lt;0.5, AllDataApr[[#This Row],[Time]]&gt;0.17)=TRUE, "Morning", IF(AND(AllDataApr[[#This Row],[Time]]&lt;0.75, AllDataApr[[#This Row],[Time]]&gt;=0.5)=TRUE, "Afternoon", IF(AND(AllDataApr[[#This Row],[Time]]&lt;1, AllDataApr[[#This Row],[Time]]&gt;=0.75)=TRUE, "Evening", "Night")))</f>
        <v>Morning</v>
      </c>
      <c r="G376" t="s">
        <v>52</v>
      </c>
      <c r="H376" t="str">
        <f>_xlfn.XLOOKUP(AllDataApr[[#This Row],[Location Name]], Locations[Row Labels],Locations[Group As])</f>
        <v>Carrant Bredon Rd</v>
      </c>
      <c r="I376" t="str">
        <f>_xlfn.XLOOKUP(AllDataApr[[#This Row],[Site Name]],LocationsKey[Site Name],LocationsKey[Region])</f>
        <v>Tewkesbury</v>
      </c>
      <c r="J376" t="str">
        <f>_xlfn.XLOOKUP(AllDataApr[[#This Row],[Site Name]],LocationsKey[Site Name], LocationsKey[Waterway])</f>
        <v>Carrant</v>
      </c>
      <c r="K376" t="s">
        <v>179</v>
      </c>
      <c r="L376">
        <v>51.998399999999997</v>
      </c>
      <c r="M376">
        <v>-2.1528</v>
      </c>
      <c r="N376" t="s">
        <v>200</v>
      </c>
      <c r="O376">
        <v>787</v>
      </c>
      <c r="P376">
        <v>11.2</v>
      </c>
      <c r="Q376">
        <v>4</v>
      </c>
      <c r="R376" s="7" t="str">
        <f>IF(AllDataApr[[#This Row],[Nitrate (PPM)]]&gt;2, "Very high", IF(AllDataApr[[#This Row],[Nitrate (PPM)]]&gt;1, "High", IF(AllDataApr[[#This Row],[Nitrate (PPM)]]&gt;0.5, "Some evidence", IF(AllDataApr[[#This Row],[Nitrate (PPM)]]&gt;0, "No evidence", IF(AllDataApr[[#This Row],[Nitrate (PPM)]]=0, "")))))</f>
        <v>Very high</v>
      </c>
      <c r="S376">
        <v>0.24</v>
      </c>
      <c r="T376" s="7" t="str">
        <f>IF(AllDataApr[[#This Row],[Phosphate (PPM)]]&gt;0.5, "Very high", IF(AllDataApr[[#This Row],[Phosphate (PPM)]]&gt;0.1, "High", IF(AllDataApr[[#This Row],[Phosphate (PPM)]]&gt;0.05, "Some evidence", IF(AllDataApr[[#This Row],[Phosphate (PPM)]]=0, ""))))</f>
        <v>High</v>
      </c>
      <c r="U376">
        <v>0.02</v>
      </c>
    </row>
    <row r="377" spans="1:22" x14ac:dyDescent="0.3">
      <c r="A377" t="s">
        <v>557</v>
      </c>
      <c r="B377" s="2">
        <v>45325</v>
      </c>
      <c r="C377" s="2" t="str" cm="1">
        <f t="array" ref="C37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77">
        <f>YEAR(AllDataApr[[#This Row],[Date]])</f>
        <v>2024</v>
      </c>
      <c r="E377" s="1">
        <v>0.5</v>
      </c>
      <c r="F377" s="2" t="str">
        <f>IF(AND(AllDataApr[[#This Row],[Time]]&lt;0.5, AllDataApr[[#This Row],[Time]]&gt;0.17)=TRUE, "Morning", IF(AND(AllDataApr[[#This Row],[Time]]&lt;0.75, AllDataApr[[#This Row],[Time]]&gt;=0.5)=TRUE, "Afternoon", IF(AND(AllDataApr[[#This Row],[Time]]&lt;1, AllDataApr[[#This Row],[Time]]&gt;=0.75)=TRUE, "Evening", "Night")))</f>
        <v>Afternoon</v>
      </c>
      <c r="G377" t="s">
        <v>52</v>
      </c>
      <c r="H377" t="str">
        <f>_xlfn.XLOOKUP(AllDataApr[[#This Row],[Location Name]], Locations[Row Labels],Locations[Group As])</f>
        <v>Black Bear</v>
      </c>
      <c r="I377" t="str">
        <f>_xlfn.XLOOKUP(AllDataApr[[#This Row],[Site Name]],LocationsKey[Site Name],LocationsKey[Region])</f>
        <v>Tewkesbury</v>
      </c>
      <c r="J377" t="str">
        <f>_xlfn.XLOOKUP(AllDataApr[[#This Row],[Site Name]],LocationsKey[Site Name], LocationsKey[Waterway])</f>
        <v>Avon</v>
      </c>
      <c r="K377" t="s">
        <v>231</v>
      </c>
      <c r="L377">
        <v>51.997509000000001</v>
      </c>
      <c r="M377">
        <v>-2.1560800000000002</v>
      </c>
      <c r="N377" t="s">
        <v>200</v>
      </c>
      <c r="O377">
        <v>840</v>
      </c>
      <c r="P377">
        <v>10</v>
      </c>
      <c r="Q377">
        <v>6</v>
      </c>
      <c r="R377" s="7" t="str">
        <f>IF(AllDataApr[[#This Row],[Nitrate (PPM)]]&gt;2, "Very high", IF(AllDataApr[[#This Row],[Nitrate (PPM)]]&gt;1, "High", IF(AllDataApr[[#This Row],[Nitrate (PPM)]]&gt;0.5, "Some evidence", IF(AllDataApr[[#This Row],[Nitrate (PPM)]]&gt;0, "No evidence", IF(AllDataApr[[#This Row],[Nitrate (PPM)]]=0, "")))))</f>
        <v>Very high</v>
      </c>
      <c r="S377">
        <v>0.96</v>
      </c>
      <c r="T377" s="7" t="str">
        <f>IF(AllDataApr[[#This Row],[Phosphate (PPM)]]&gt;0.5, "Very high", IF(AllDataApr[[#This Row],[Phosphate (PPM)]]&gt;0.1, "High", IF(AllDataApr[[#This Row],[Phosphate (PPM)]]&gt;0.05, "Some evidence", IF(AllDataApr[[#This Row],[Phosphate (PPM)]]=0, ""))))</f>
        <v>Very high</v>
      </c>
      <c r="U377">
        <v>0</v>
      </c>
    </row>
    <row r="378" spans="1:22" x14ac:dyDescent="0.3">
      <c r="A378" t="s">
        <v>555</v>
      </c>
      <c r="B378" s="2">
        <v>45326</v>
      </c>
      <c r="C378" s="2" t="str" cm="1">
        <f t="array" ref="C37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78">
        <f>YEAR(AllDataApr[[#This Row],[Date]])</f>
        <v>2024</v>
      </c>
      <c r="E378" s="1">
        <v>0.5625</v>
      </c>
      <c r="F378" s="2" t="str">
        <f>IF(AND(AllDataApr[[#This Row],[Time]]&lt;0.5, AllDataApr[[#This Row],[Time]]&gt;0.17)=TRUE, "Morning", IF(AND(AllDataApr[[#This Row],[Time]]&lt;0.75, AllDataApr[[#This Row],[Time]]&gt;=0.5)=TRUE, "Afternoon", IF(AND(AllDataApr[[#This Row],[Time]]&lt;1, AllDataApr[[#This Row],[Time]]&gt;=0.75)=TRUE, "Evening", "Night")))</f>
        <v>Afternoon</v>
      </c>
      <c r="G378" t="s">
        <v>112</v>
      </c>
      <c r="H378" t="str">
        <f>_xlfn.XLOOKUP(AllDataApr[[#This Row],[Location Name]], Locations[Row Labels],Locations[Group As])</f>
        <v>Clifford Chambers Mill Bridge</v>
      </c>
      <c r="I378" t="str">
        <f>_xlfn.XLOOKUP(AllDataApr[[#This Row],[Site Name]],LocationsKey[Site Name],LocationsKey[Region])</f>
        <v>Stratford</v>
      </c>
      <c r="J378" t="str">
        <f>_xlfn.XLOOKUP(AllDataApr[[#This Row],[Site Name]],LocationsKey[Site Name], LocationsKey[Waterway])</f>
        <v>Stour</v>
      </c>
      <c r="K378" t="s">
        <v>119</v>
      </c>
      <c r="L378">
        <v>52.166370000000001</v>
      </c>
      <c r="M378">
        <v>-1.708032</v>
      </c>
      <c r="N378" t="s">
        <v>1047</v>
      </c>
      <c r="O378">
        <v>668</v>
      </c>
      <c r="P378">
        <v>12.3</v>
      </c>
      <c r="Q378">
        <v>5</v>
      </c>
      <c r="R378" s="7" t="str">
        <f>IF(AllDataApr[[#This Row],[Nitrate (PPM)]]&gt;2, "Very high", IF(AllDataApr[[#This Row],[Nitrate (PPM)]]&gt;1, "High", IF(AllDataApr[[#This Row],[Nitrate (PPM)]]&gt;0.5, "Some evidence", IF(AllDataApr[[#This Row],[Nitrate (PPM)]]&gt;0, "No evidence", IF(AllDataApr[[#This Row],[Nitrate (PPM)]]=0, "")))))</f>
        <v>Very high</v>
      </c>
      <c r="S378">
        <v>0.5</v>
      </c>
      <c r="T378" s="7" t="str">
        <f>IF(AllDataApr[[#This Row],[Phosphate (PPM)]]&gt;0.5, "Very high", IF(AllDataApr[[#This Row],[Phosphate (PPM)]]&gt;0.1, "High", IF(AllDataApr[[#This Row],[Phosphate (PPM)]]&gt;0.05, "Some evidence", IF(AllDataApr[[#This Row],[Phosphate (PPM)]]=0, ""))))</f>
        <v>High</v>
      </c>
      <c r="U378">
        <v>0.7</v>
      </c>
    </row>
    <row r="379" spans="1:22" x14ac:dyDescent="0.3">
      <c r="A379" t="s">
        <v>497</v>
      </c>
      <c r="B379" s="2">
        <v>45326</v>
      </c>
      <c r="C379" s="2" t="str" cm="1">
        <f t="array" ref="C37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79">
        <f>YEAR(AllDataApr[[#This Row],[Date]])</f>
        <v>2024</v>
      </c>
      <c r="E379" s="1">
        <v>0.625</v>
      </c>
      <c r="F379" s="2" t="str">
        <f>IF(AND(AllDataApr[[#This Row],[Time]]&lt;0.5, AllDataApr[[#This Row],[Time]]&gt;0.17)=TRUE, "Morning", IF(AND(AllDataApr[[#This Row],[Time]]&lt;0.75, AllDataApr[[#This Row],[Time]]&gt;=0.5)=TRUE, "Afternoon", IF(AND(AllDataApr[[#This Row],[Time]]&lt;1, AllDataApr[[#This Row],[Time]]&gt;=0.75)=TRUE, "Evening", "Night")))</f>
        <v>Afternoon</v>
      </c>
      <c r="G379" t="s">
        <v>275</v>
      </c>
      <c r="H379" t="str">
        <f>_xlfn.XLOOKUP(AllDataApr[[#This Row],[Location Name]], Locations[Row Labels],Locations[Group As])</f>
        <v>Sherbourne Brook 1</v>
      </c>
      <c r="I379" t="str">
        <f>_xlfn.XLOOKUP(AllDataApr[[#This Row],[Site Name]],LocationsKey[Site Name],LocationsKey[Region])</f>
        <v>Stratford</v>
      </c>
      <c r="J379" t="str">
        <f>_xlfn.XLOOKUP(AllDataApr[[#This Row],[Site Name]],LocationsKey[Site Name], LocationsKey[Waterway])</f>
        <v>Sherbourne Brook</v>
      </c>
      <c r="K379" t="s">
        <v>280</v>
      </c>
      <c r="N379" t="s">
        <v>200</v>
      </c>
      <c r="O379">
        <v>1100</v>
      </c>
      <c r="P379">
        <v>11.1</v>
      </c>
      <c r="Q379">
        <v>12</v>
      </c>
      <c r="R379" s="7" t="str">
        <f>IF(AllDataApr[[#This Row],[Nitrate (PPM)]]&gt;2, "Very high", IF(AllDataApr[[#This Row],[Nitrate (PPM)]]&gt;1, "High", IF(AllDataApr[[#This Row],[Nitrate (PPM)]]&gt;0.5, "Some evidence", IF(AllDataApr[[#This Row],[Nitrate (PPM)]]&gt;0, "No evidence", IF(AllDataApr[[#This Row],[Nitrate (PPM)]]=0, "")))))</f>
        <v>Very high</v>
      </c>
      <c r="S379">
        <v>0.45</v>
      </c>
      <c r="T379" s="7" t="str">
        <f>IF(AllDataApr[[#This Row],[Phosphate (PPM)]]&gt;0.5, "Very high", IF(AllDataApr[[#This Row],[Phosphate (PPM)]]&gt;0.1, "High", IF(AllDataApr[[#This Row],[Phosphate (PPM)]]&gt;0.05, "Some evidence", IF(AllDataApr[[#This Row],[Phosphate (PPM)]]=0, ""))))</f>
        <v>High</v>
      </c>
      <c r="U379">
        <v>0.5</v>
      </c>
    </row>
    <row r="380" spans="1:22" x14ac:dyDescent="0.3">
      <c r="A380" t="s">
        <v>496</v>
      </c>
      <c r="B380" s="2">
        <v>45326</v>
      </c>
      <c r="C380" s="2" t="str" cm="1">
        <f t="array" ref="C38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80">
        <f>YEAR(AllDataApr[[#This Row],[Date]])</f>
        <v>2024</v>
      </c>
      <c r="E380" s="1">
        <v>0.63541666666666663</v>
      </c>
      <c r="F380" s="2" t="str">
        <f>IF(AND(AllDataApr[[#This Row],[Time]]&lt;0.5, AllDataApr[[#This Row],[Time]]&gt;0.17)=TRUE, "Morning", IF(AND(AllDataApr[[#This Row],[Time]]&lt;0.75, AllDataApr[[#This Row],[Time]]&gt;=0.5)=TRUE, "Afternoon", IF(AND(AllDataApr[[#This Row],[Time]]&lt;1, AllDataApr[[#This Row],[Time]]&gt;=0.75)=TRUE, "Evening", "Night")))</f>
        <v>Afternoon</v>
      </c>
      <c r="G380" t="s">
        <v>275</v>
      </c>
      <c r="H380" t="str">
        <f>_xlfn.XLOOKUP(AllDataApr[[#This Row],[Location Name]], Locations[Row Labels],Locations[Group As])</f>
        <v>Bell Brook 1</v>
      </c>
      <c r="I380" t="str">
        <f>_xlfn.XLOOKUP(AllDataApr[[#This Row],[Site Name]],LocationsKey[Site Name],LocationsKey[Region])</f>
        <v>Stratford</v>
      </c>
      <c r="J380" t="str">
        <f>_xlfn.XLOOKUP(AllDataApr[[#This Row],[Site Name]],LocationsKey[Site Name], LocationsKey[Waterway])</f>
        <v>Bell Brook</v>
      </c>
      <c r="K380" t="s">
        <v>279</v>
      </c>
      <c r="N380" t="s">
        <v>200</v>
      </c>
      <c r="O380">
        <v>725</v>
      </c>
      <c r="P380">
        <v>11.1</v>
      </c>
      <c r="Q380">
        <v>10</v>
      </c>
      <c r="R380" s="7" t="str">
        <f>IF(AllDataApr[[#This Row],[Nitrate (PPM)]]&gt;2, "Very high", IF(AllDataApr[[#This Row],[Nitrate (PPM)]]&gt;1, "High", IF(AllDataApr[[#This Row],[Nitrate (PPM)]]&gt;0.5, "Some evidence", IF(AllDataApr[[#This Row],[Nitrate (PPM)]]&gt;0, "No evidence", IF(AllDataApr[[#This Row],[Nitrate (PPM)]]=0, "")))))</f>
        <v>Very high</v>
      </c>
      <c r="S380">
        <v>0.5</v>
      </c>
      <c r="T380" s="7" t="str">
        <f>IF(AllDataApr[[#This Row],[Phosphate (PPM)]]&gt;0.5, "Very high", IF(AllDataApr[[#This Row],[Phosphate (PPM)]]&gt;0.1, "High", IF(AllDataApr[[#This Row],[Phosphate (PPM)]]&gt;0.05, "Some evidence", IF(AllDataApr[[#This Row],[Phosphate (PPM)]]=0, ""))))</f>
        <v>High</v>
      </c>
      <c r="U380">
        <v>0.5</v>
      </c>
    </row>
    <row r="381" spans="1:22" x14ac:dyDescent="0.3">
      <c r="A381" t="s">
        <v>554</v>
      </c>
      <c r="B381" s="2">
        <v>45327</v>
      </c>
      <c r="C381" s="2" t="str" cm="1">
        <f t="array" ref="C38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81">
        <f>YEAR(AllDataApr[[#This Row],[Date]])</f>
        <v>2024</v>
      </c>
      <c r="E381" s="1">
        <v>0.35694444444444445</v>
      </c>
      <c r="F381" s="2" t="str">
        <f>IF(AND(AllDataApr[[#This Row],[Time]]&lt;0.5, AllDataApr[[#This Row],[Time]]&gt;0.17)=TRUE, "Morning", IF(AND(AllDataApr[[#This Row],[Time]]&lt;0.75, AllDataApr[[#This Row],[Time]]&gt;=0.5)=TRUE, "Afternoon", IF(AND(AllDataApr[[#This Row],[Time]]&lt;1, AllDataApr[[#This Row],[Time]]&gt;=0.75)=TRUE, "Evening", "Night")))</f>
        <v>Morning</v>
      </c>
      <c r="G381" t="s">
        <v>150</v>
      </c>
      <c r="H381" t="str">
        <f>_xlfn.XLOOKUP(AllDataApr[[#This Row],[Location Name]], Locations[Row Labels],Locations[Group As])</f>
        <v>Stour Stretton-on-Fosse Village</v>
      </c>
      <c r="I381" t="str">
        <f>_xlfn.XLOOKUP(AllDataApr[[#This Row],[Site Name]],LocationsKey[Site Name],LocationsKey[Region])</f>
        <v>Shipston</v>
      </c>
      <c r="J381" t="str">
        <f>_xlfn.XLOOKUP(AllDataApr[[#This Row],[Site Name]],LocationsKey[Site Name], LocationsKey[Waterway])</f>
        <v>Stour</v>
      </c>
      <c r="K381" t="s">
        <v>198</v>
      </c>
      <c r="L381">
        <v>52.046529</v>
      </c>
      <c r="M381">
        <v>-1.6734070000000001</v>
      </c>
      <c r="N381" t="s">
        <v>42</v>
      </c>
      <c r="O381">
        <v>751</v>
      </c>
      <c r="P381">
        <v>9.1999999999999993</v>
      </c>
      <c r="Q381">
        <v>2</v>
      </c>
      <c r="R381" s="7" t="str">
        <f>IF(AllDataApr[[#This Row],[Nitrate (PPM)]]&gt;2, "Very high", IF(AllDataApr[[#This Row],[Nitrate (PPM)]]&gt;1, "High", IF(AllDataApr[[#This Row],[Nitrate (PPM)]]&gt;0.5, "Some evidence", IF(AllDataApr[[#This Row],[Nitrate (PPM)]]&gt;0, "No evidence", IF(AllDataApr[[#This Row],[Nitrate (PPM)]]=0, "")))))</f>
        <v>High</v>
      </c>
      <c r="S381">
        <v>1.45</v>
      </c>
      <c r="T381" s="7" t="str">
        <f>IF(AllDataApr[[#This Row],[Phosphate (PPM)]]&gt;0.5, "Very high", IF(AllDataApr[[#This Row],[Phosphate (PPM)]]&gt;0.1, "High", IF(AllDataApr[[#This Row],[Phosphate (PPM)]]&gt;0.05, "Some evidence", IF(AllDataApr[[#This Row],[Phosphate (PPM)]]=0, ""))))</f>
        <v>Very high</v>
      </c>
      <c r="U381">
        <v>0.2</v>
      </c>
    </row>
    <row r="382" spans="1:22" x14ac:dyDescent="0.3">
      <c r="A382" t="s">
        <v>553</v>
      </c>
      <c r="B382" s="2">
        <v>45327</v>
      </c>
      <c r="C382" s="2" t="str" cm="1">
        <f t="array" ref="C38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82">
        <f>YEAR(AllDataApr[[#This Row],[Date]])</f>
        <v>2024</v>
      </c>
      <c r="E382" s="1">
        <v>0.375</v>
      </c>
      <c r="F382" s="2" t="str">
        <f>IF(AND(AllDataApr[[#This Row],[Time]]&lt;0.5, AllDataApr[[#This Row],[Time]]&gt;0.17)=TRUE, "Morning", IF(AND(AllDataApr[[#This Row],[Time]]&lt;0.75, AllDataApr[[#This Row],[Time]]&gt;=0.5)=TRUE, "Afternoon", IF(AND(AllDataApr[[#This Row],[Time]]&lt;1, AllDataApr[[#This Row],[Time]]&gt;=0.75)=TRUE, "Evening", "Night")))</f>
        <v>Morning</v>
      </c>
      <c r="G382" t="s">
        <v>150</v>
      </c>
      <c r="H382" t="str">
        <f>_xlfn.XLOOKUP(AllDataApr[[#This Row],[Location Name]], Locations[Row Labels],Locations[Group As])</f>
        <v>Stour Stretton-on-Fosse Sewage Works</v>
      </c>
      <c r="I382" t="str">
        <f>_xlfn.XLOOKUP(AllDataApr[[#This Row],[Site Name]],LocationsKey[Site Name],LocationsKey[Region])</f>
        <v>Shipston</v>
      </c>
      <c r="J382" t="str">
        <f>_xlfn.XLOOKUP(AllDataApr[[#This Row],[Site Name]],LocationsKey[Site Name], LocationsKey[Waterway])</f>
        <v>Stour</v>
      </c>
      <c r="K382" t="s">
        <v>151</v>
      </c>
      <c r="L382">
        <v>52.045651999999997</v>
      </c>
      <c r="M382">
        <v>-1.6719360000000001</v>
      </c>
      <c r="N382" t="s">
        <v>18</v>
      </c>
      <c r="O382">
        <v>787</v>
      </c>
      <c r="P382">
        <v>8.6</v>
      </c>
      <c r="Q382">
        <v>5</v>
      </c>
      <c r="R382" s="7" t="str">
        <f>IF(AllDataApr[[#This Row],[Nitrate (PPM)]]&gt;2, "Very high", IF(AllDataApr[[#This Row],[Nitrate (PPM)]]&gt;1, "High", IF(AllDataApr[[#This Row],[Nitrate (PPM)]]&gt;0.5, "Some evidence", IF(AllDataApr[[#This Row],[Nitrate (PPM)]]&gt;0, "No evidence", IF(AllDataApr[[#This Row],[Nitrate (PPM)]]=0, "")))))</f>
        <v>Very high</v>
      </c>
      <c r="S382">
        <v>2.5</v>
      </c>
      <c r="T382" s="7" t="str">
        <f>IF(AllDataApr[[#This Row],[Phosphate (PPM)]]&gt;0.5, "Very high", IF(AllDataApr[[#This Row],[Phosphate (PPM)]]&gt;0.1, "High", IF(AllDataApr[[#This Row],[Phosphate (PPM)]]&gt;0.05, "Some evidence", IF(AllDataApr[[#This Row],[Phosphate (PPM)]]=0, ""))))</f>
        <v>Very high</v>
      </c>
      <c r="U382">
        <v>0.3</v>
      </c>
      <c r="V382" t="s">
        <v>259</v>
      </c>
    </row>
    <row r="383" spans="1:22" x14ac:dyDescent="0.3">
      <c r="A383" t="s">
        <v>547</v>
      </c>
      <c r="B383" s="2">
        <v>45327</v>
      </c>
      <c r="C383" s="2" t="str" cm="1">
        <f t="array" ref="C38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83">
        <f>YEAR(AllDataApr[[#This Row],[Date]])</f>
        <v>2024</v>
      </c>
      <c r="E383" s="1">
        <v>0.57499999999999996</v>
      </c>
      <c r="F383" s="2" t="str">
        <f>IF(AND(AllDataApr[[#This Row],[Time]]&lt;0.5, AllDataApr[[#This Row],[Time]]&gt;0.17)=TRUE, "Morning", IF(AND(AllDataApr[[#This Row],[Time]]&lt;0.75, AllDataApr[[#This Row],[Time]]&gt;=0.5)=TRUE, "Afternoon", IF(AND(AllDataApr[[#This Row],[Time]]&lt;1, AllDataApr[[#This Row],[Time]]&gt;=0.75)=TRUE, "Evening", "Night")))</f>
        <v>Afternoon</v>
      </c>
      <c r="G383" t="s">
        <v>139</v>
      </c>
      <c r="H383" t="str">
        <f>_xlfn.XLOOKUP(AllDataApr[[#This Row],[Location Name]], Locations[Row Labels],Locations[Group As])</f>
        <v>Swiffen Bank</v>
      </c>
      <c r="I383" t="str">
        <f>_xlfn.XLOOKUP(AllDataApr[[#This Row],[Site Name]],LocationsKey[Site Name],LocationsKey[Region])</f>
        <v>Stratford</v>
      </c>
      <c r="J383" t="str">
        <f>_xlfn.XLOOKUP(AllDataApr[[#This Row],[Site Name]],LocationsKey[Site Name], LocationsKey[Waterway])</f>
        <v>Avon</v>
      </c>
      <c r="K383" t="s">
        <v>167</v>
      </c>
      <c r="L383">
        <v>52.206367</v>
      </c>
      <c r="M383">
        <v>-1.6540980000000001</v>
      </c>
      <c r="N383" t="s">
        <v>18</v>
      </c>
      <c r="O383">
        <v>699</v>
      </c>
      <c r="P383">
        <v>11.2</v>
      </c>
      <c r="Q383">
        <v>10</v>
      </c>
      <c r="R383" s="7" t="str">
        <f>IF(AllDataApr[[#This Row],[Nitrate (PPM)]]&gt;2, "Very high", IF(AllDataApr[[#This Row],[Nitrate (PPM)]]&gt;1, "High", IF(AllDataApr[[#This Row],[Nitrate (PPM)]]&gt;0.5, "Some evidence", IF(AllDataApr[[#This Row],[Nitrate (PPM)]]&gt;0, "No evidence", IF(AllDataApr[[#This Row],[Nitrate (PPM)]]=0, "")))))</f>
        <v>Very high</v>
      </c>
      <c r="S383">
        <v>0.7</v>
      </c>
      <c r="T383" s="7" t="str">
        <f>IF(AllDataApr[[#This Row],[Phosphate (PPM)]]&gt;0.5, "Very high", IF(AllDataApr[[#This Row],[Phosphate (PPM)]]&gt;0.1, "High", IF(AllDataApr[[#This Row],[Phosphate (PPM)]]&gt;0.05, "Some evidence", IF(AllDataApr[[#This Row],[Phosphate (PPM)]]=0, ""))))</f>
        <v>Very high</v>
      </c>
      <c r="U383">
        <v>0</v>
      </c>
    </row>
    <row r="384" spans="1:22" x14ac:dyDescent="0.3">
      <c r="A384" t="s">
        <v>548</v>
      </c>
      <c r="B384" s="2">
        <v>45327</v>
      </c>
      <c r="C384" s="2" t="str" cm="1">
        <f t="array" ref="C38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84">
        <f>YEAR(AllDataApr[[#This Row],[Date]])</f>
        <v>2024</v>
      </c>
      <c r="E384" s="1">
        <v>0.59583333333333333</v>
      </c>
      <c r="F384" s="2" t="str">
        <f>IF(AND(AllDataApr[[#This Row],[Time]]&lt;0.5, AllDataApr[[#This Row],[Time]]&gt;0.17)=TRUE, "Morning", IF(AND(AllDataApr[[#This Row],[Time]]&lt;0.75, AllDataApr[[#This Row],[Time]]&gt;=0.5)=TRUE, "Afternoon", IF(AND(AllDataApr[[#This Row],[Time]]&lt;1, AllDataApr[[#This Row],[Time]]&gt;=0.75)=TRUE, "Evening", "Night")))</f>
        <v>Afternoon</v>
      </c>
      <c r="G384" t="s">
        <v>156</v>
      </c>
      <c r="H384" t="str">
        <f>_xlfn.XLOOKUP(AllDataApr[[#This Row],[Location Name]], Locations[Row Labels],Locations[Group As])</f>
        <v>Alveston Weir</v>
      </c>
      <c r="I384" t="str">
        <f>_xlfn.XLOOKUP(AllDataApr[[#This Row],[Site Name]],LocationsKey[Site Name],LocationsKey[Region])</f>
        <v>Stratford</v>
      </c>
      <c r="J384" t="str">
        <f>_xlfn.XLOOKUP(AllDataApr[[#This Row],[Site Name]],LocationsKey[Site Name], LocationsKey[Waterway])</f>
        <v>Avon</v>
      </c>
      <c r="K384" t="s">
        <v>235</v>
      </c>
      <c r="L384">
        <v>52.214258000000001</v>
      </c>
      <c r="M384">
        <v>-1.6600569999999999</v>
      </c>
      <c r="N384" t="s">
        <v>18</v>
      </c>
      <c r="O384">
        <v>704</v>
      </c>
      <c r="P384">
        <v>10.4</v>
      </c>
      <c r="Q384">
        <v>5</v>
      </c>
      <c r="R384" s="7" t="str">
        <f>IF(AllDataApr[[#This Row],[Nitrate (PPM)]]&gt;2, "Very high", IF(AllDataApr[[#This Row],[Nitrate (PPM)]]&gt;1, "High", IF(AllDataApr[[#This Row],[Nitrate (PPM)]]&gt;0.5, "Some evidence", IF(AllDataApr[[#This Row],[Nitrate (PPM)]]&gt;0, "No evidence", IF(AllDataApr[[#This Row],[Nitrate (PPM)]]=0, "")))))</f>
        <v>Very high</v>
      </c>
      <c r="S384">
        <v>0.69</v>
      </c>
      <c r="T384" s="7" t="str">
        <f>IF(AllDataApr[[#This Row],[Phosphate (PPM)]]&gt;0.5, "Very high", IF(AllDataApr[[#This Row],[Phosphate (PPM)]]&gt;0.1, "High", IF(AllDataApr[[#This Row],[Phosphate (PPM)]]&gt;0.05, "Some evidence", IF(AllDataApr[[#This Row],[Phosphate (PPM)]]=0, ""))))</f>
        <v>Very high</v>
      </c>
      <c r="U384">
        <v>-0.5</v>
      </c>
    </row>
    <row r="385" spans="1:22" x14ac:dyDescent="0.3">
      <c r="A385" t="s">
        <v>549</v>
      </c>
      <c r="B385" s="2">
        <v>45327</v>
      </c>
      <c r="C385" s="2" t="str" cm="1">
        <f t="array" ref="C38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85">
        <f>YEAR(AllDataApr[[#This Row],[Date]])</f>
        <v>2024</v>
      </c>
      <c r="E385" s="1">
        <v>0.61458333333333337</v>
      </c>
      <c r="F385" s="2" t="str">
        <f>IF(AND(AllDataApr[[#This Row],[Time]]&lt;0.5, AllDataApr[[#This Row],[Time]]&gt;0.17)=TRUE, "Morning", IF(AND(AllDataApr[[#This Row],[Time]]&lt;0.75, AllDataApr[[#This Row],[Time]]&gt;=0.5)=TRUE, "Afternoon", IF(AND(AllDataApr[[#This Row],[Time]]&lt;1, AllDataApr[[#This Row],[Time]]&gt;=0.75)=TRUE, "Evening", "Night")))</f>
        <v>Afternoon</v>
      </c>
      <c r="G385" t="s">
        <v>223</v>
      </c>
      <c r="H385" t="str">
        <f>_xlfn.XLOOKUP(AllDataApr[[#This Row],[Location Name]], Locations[Row Labels],Locations[Group As])</f>
        <v>Abbey Mill</v>
      </c>
      <c r="I385" t="str">
        <f>_xlfn.XLOOKUP(AllDataApr[[#This Row],[Site Name]],LocationsKey[Site Name],LocationsKey[Region])</f>
        <v>Tewkesbury</v>
      </c>
      <c r="J385" t="str">
        <f>_xlfn.XLOOKUP(AllDataApr[[#This Row],[Site Name]],LocationsKey[Site Name], LocationsKey[Waterway])</f>
        <v>Avon</v>
      </c>
      <c r="K385" t="s">
        <v>13</v>
      </c>
      <c r="L385">
        <v>51.991312999999998</v>
      </c>
      <c r="M385">
        <v>-2.1626340000000002</v>
      </c>
      <c r="N385" t="s">
        <v>18</v>
      </c>
      <c r="O385">
        <v>906</v>
      </c>
      <c r="P385">
        <v>9.6999999999999993</v>
      </c>
      <c r="Q385">
        <v>5</v>
      </c>
      <c r="R385" s="7" t="str">
        <f>IF(AllDataApr[[#This Row],[Nitrate (PPM)]]&gt;2, "Very high", IF(AllDataApr[[#This Row],[Nitrate (PPM)]]&gt;1, "High", IF(AllDataApr[[#This Row],[Nitrate (PPM)]]&gt;0.5, "Some evidence", IF(AllDataApr[[#This Row],[Nitrate (PPM)]]&gt;0, "No evidence", IF(AllDataApr[[#This Row],[Nitrate (PPM)]]=0, "")))))</f>
        <v>Very high</v>
      </c>
      <c r="S385">
        <v>0.63</v>
      </c>
      <c r="T385" s="7" t="str">
        <f>IF(AllDataApr[[#This Row],[Phosphate (PPM)]]&gt;0.5, "Very high", IF(AllDataApr[[#This Row],[Phosphate (PPM)]]&gt;0.1, "High", IF(AllDataApr[[#This Row],[Phosphate (PPM)]]&gt;0.05, "Some evidence", IF(AllDataApr[[#This Row],[Phosphate (PPM)]]=0, ""))))</f>
        <v>Very high</v>
      </c>
      <c r="U385">
        <v>0.5</v>
      </c>
      <c r="V385" t="s">
        <v>258</v>
      </c>
    </row>
    <row r="386" spans="1:22" x14ac:dyDescent="0.3">
      <c r="A386" t="s">
        <v>528</v>
      </c>
      <c r="B386" s="2">
        <v>45329</v>
      </c>
      <c r="C386" s="2" t="str" cm="1">
        <f t="array" ref="C38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86">
        <f>YEAR(AllDataApr[[#This Row],[Date]])</f>
        <v>2024</v>
      </c>
      <c r="E386" s="1">
        <v>0.625</v>
      </c>
      <c r="F386" s="2" t="str">
        <f>IF(AND(AllDataApr[[#This Row],[Time]]&lt;0.5, AllDataApr[[#This Row],[Time]]&gt;0.17)=TRUE, "Morning", IF(AND(AllDataApr[[#This Row],[Time]]&lt;0.75, AllDataApr[[#This Row],[Time]]&gt;=0.5)=TRUE, "Afternoon", IF(AND(AllDataApr[[#This Row],[Time]]&lt;1, AllDataApr[[#This Row],[Time]]&gt;=0.75)=TRUE, "Evening", "Night")))</f>
        <v>Afternoon</v>
      </c>
      <c r="G386" t="s">
        <v>57</v>
      </c>
      <c r="H386" t="str">
        <f>_xlfn.XLOOKUP(AllDataApr[[#This Row],[Location Name]], Locations[Row Labels],Locations[Group As])</f>
        <v>Stour Newbold Mill</v>
      </c>
      <c r="I386" t="str">
        <f>_xlfn.XLOOKUP(AllDataApr[[#This Row],[Site Name]],LocationsKey[Site Name],LocationsKey[Region])</f>
        <v>Shipston</v>
      </c>
      <c r="J386" t="str">
        <f>_xlfn.XLOOKUP(AllDataApr[[#This Row],[Site Name]],LocationsKey[Site Name], LocationsKey[Waterway])</f>
        <v>Stour</v>
      </c>
      <c r="K386" t="s">
        <v>66</v>
      </c>
      <c r="L386">
        <v>52.112793000000003</v>
      </c>
      <c r="M386">
        <v>-1.633481</v>
      </c>
      <c r="N386" t="s">
        <v>42</v>
      </c>
      <c r="O386">
        <v>606</v>
      </c>
      <c r="P386">
        <v>8.1</v>
      </c>
      <c r="Q386">
        <v>2</v>
      </c>
      <c r="R386" s="7" t="str">
        <f>IF(AllDataApr[[#This Row],[Nitrate (PPM)]]&gt;2, "Very high", IF(AllDataApr[[#This Row],[Nitrate (PPM)]]&gt;1, "High", IF(AllDataApr[[#This Row],[Nitrate (PPM)]]&gt;0.5, "Some evidence", IF(AllDataApr[[#This Row],[Nitrate (PPM)]]&gt;0, "No evidence", IF(AllDataApr[[#This Row],[Nitrate (PPM)]]=0, "")))))</f>
        <v>High</v>
      </c>
      <c r="S386">
        <v>0.25</v>
      </c>
      <c r="T386" s="7" t="str">
        <f>IF(AllDataApr[[#This Row],[Phosphate (PPM)]]&gt;0.5, "Very high", IF(AllDataApr[[#This Row],[Phosphate (PPM)]]&gt;0.1, "High", IF(AllDataApr[[#This Row],[Phosphate (PPM)]]&gt;0.05, "Some evidence", IF(AllDataApr[[#This Row],[Phosphate (PPM)]]=0, ""))))</f>
        <v>High</v>
      </c>
      <c r="U386">
        <v>3.5</v>
      </c>
      <c r="V386" t="s">
        <v>260</v>
      </c>
    </row>
    <row r="387" spans="1:22" x14ac:dyDescent="0.3">
      <c r="A387" t="s">
        <v>531</v>
      </c>
      <c r="B387" s="2">
        <v>45330</v>
      </c>
      <c r="C387" s="2" t="str" cm="1">
        <f t="array" ref="C38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87">
        <f>YEAR(AllDataApr[[#This Row],[Date]])</f>
        <v>2024</v>
      </c>
      <c r="E387" s="1">
        <v>0.47916666666666669</v>
      </c>
      <c r="F387" s="2" t="str">
        <f>IF(AND(AllDataApr[[#This Row],[Time]]&lt;0.5, AllDataApr[[#This Row],[Time]]&gt;0.17)=TRUE, "Morning", IF(AND(AllDataApr[[#This Row],[Time]]&lt;0.75, AllDataApr[[#This Row],[Time]]&gt;=0.5)=TRUE, "Afternoon", IF(AND(AllDataApr[[#This Row],[Time]]&lt;1, AllDataApr[[#This Row],[Time]]&gt;=0.75)=TRUE, "Evening", "Night")))</f>
        <v>Morning</v>
      </c>
      <c r="G387" t="s">
        <v>220</v>
      </c>
      <c r="H387" t="str">
        <f>_xlfn.XLOOKUP(AllDataApr[[#This Row],[Location Name]], Locations[Row Labels],Locations[Group As])</f>
        <v>Stour Willington</v>
      </c>
      <c r="I387" t="str">
        <f>_xlfn.XLOOKUP(AllDataApr[[#This Row],[Site Name]],LocationsKey[Site Name],LocationsKey[Region])</f>
        <v>Shipston</v>
      </c>
      <c r="J387" t="str">
        <f>_xlfn.XLOOKUP(AllDataApr[[#This Row],[Site Name]],LocationsKey[Site Name], LocationsKey[Waterway])</f>
        <v>Stour</v>
      </c>
      <c r="K387" t="s">
        <v>197</v>
      </c>
      <c r="L387">
        <v>52.051000000000002</v>
      </c>
      <c r="M387">
        <v>-1.6140000000000001</v>
      </c>
      <c r="O387">
        <v>465</v>
      </c>
      <c r="P387">
        <v>8.6999999999999993</v>
      </c>
      <c r="Q387">
        <v>0.5</v>
      </c>
      <c r="R387" s="7" t="str">
        <f>IF(AllDataApr[[#This Row],[Nitrate (PPM)]]&gt;2, "Very high", IF(AllDataApr[[#This Row],[Nitrate (PPM)]]&gt;1, "High", IF(AllDataApr[[#This Row],[Nitrate (PPM)]]&gt;0.5, "Some evidence", IF(AllDataApr[[#This Row],[Nitrate (PPM)]]&gt;0, "No evidence", IF(AllDataApr[[#This Row],[Nitrate (PPM)]]=0, "")))))</f>
        <v>No evidence</v>
      </c>
      <c r="S387">
        <v>0.28999999999999998</v>
      </c>
      <c r="T387" s="7" t="str">
        <f>IF(AllDataApr[[#This Row],[Phosphate (PPM)]]&gt;0.5, "Very high", IF(AllDataApr[[#This Row],[Phosphate (PPM)]]&gt;0.1, "High", IF(AllDataApr[[#This Row],[Phosphate (PPM)]]&gt;0.05, "Some evidence", IF(AllDataApr[[#This Row],[Phosphate (PPM)]]=0, ""))))</f>
        <v>High</v>
      </c>
      <c r="U387">
        <v>1</v>
      </c>
    </row>
    <row r="388" spans="1:22" x14ac:dyDescent="0.3">
      <c r="A388" t="s">
        <v>539</v>
      </c>
      <c r="B388" s="2">
        <v>45330</v>
      </c>
      <c r="C388" s="2" t="str" cm="1">
        <f t="array" ref="C38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88">
        <f>YEAR(AllDataApr[[#This Row],[Date]])</f>
        <v>2024</v>
      </c>
      <c r="E388" s="1">
        <v>0.5</v>
      </c>
      <c r="F388" s="2" t="str">
        <f>IF(AND(AllDataApr[[#This Row],[Time]]&lt;0.5, AllDataApr[[#This Row],[Time]]&gt;0.17)=TRUE, "Morning", IF(AND(AllDataApr[[#This Row],[Time]]&lt;0.75, AllDataApr[[#This Row],[Time]]&gt;=0.5)=TRUE, "Afternoon", IF(AND(AllDataApr[[#This Row],[Time]]&lt;1, AllDataApr[[#This Row],[Time]]&gt;=0.75)=TRUE, "Evening", "Night")))</f>
        <v>Afternoon</v>
      </c>
      <c r="G388" t="s">
        <v>46</v>
      </c>
      <c r="H388" t="str">
        <f>_xlfn.XLOOKUP(AllDataApr[[#This Row],[Location Name]], Locations[Row Labels],Locations[Group As])</f>
        <v>Swilgate</v>
      </c>
      <c r="I388" t="str">
        <f>_xlfn.XLOOKUP(AllDataApr[[#This Row],[Site Name]],LocationsKey[Site Name],LocationsKey[Region])</f>
        <v>Tewkesbury</v>
      </c>
      <c r="J388" t="str">
        <f>_xlfn.XLOOKUP(AllDataApr[[#This Row],[Site Name]],LocationsKey[Site Name], LocationsKey[Waterway])</f>
        <v>Swilgate</v>
      </c>
      <c r="K388" t="s">
        <v>47</v>
      </c>
      <c r="N388" t="s">
        <v>200</v>
      </c>
      <c r="O388">
        <v>830</v>
      </c>
      <c r="P388">
        <v>9.6</v>
      </c>
      <c r="Q388">
        <v>3</v>
      </c>
      <c r="R388" s="7" t="str">
        <f>IF(AllDataApr[[#This Row],[Nitrate (PPM)]]&gt;2, "Very high", IF(AllDataApr[[#This Row],[Nitrate (PPM)]]&gt;1, "High", IF(AllDataApr[[#This Row],[Nitrate (PPM)]]&gt;0.5, "Some evidence", IF(AllDataApr[[#This Row],[Nitrate (PPM)]]&gt;0, "No evidence", IF(AllDataApr[[#This Row],[Nitrate (PPM)]]=0, "")))))</f>
        <v>Very high</v>
      </c>
      <c r="S388">
        <v>0.45</v>
      </c>
      <c r="T388" s="7" t="str">
        <f>IF(AllDataApr[[#This Row],[Phosphate (PPM)]]&gt;0.5, "Very high", IF(AllDataApr[[#This Row],[Phosphate (PPM)]]&gt;0.1, "High", IF(AllDataApr[[#This Row],[Phosphate (PPM)]]&gt;0.05, "Some evidence", IF(AllDataApr[[#This Row],[Phosphate (PPM)]]=0, ""))))</f>
        <v>High</v>
      </c>
      <c r="U388">
        <v>2</v>
      </c>
    </row>
    <row r="389" spans="1:22" x14ac:dyDescent="0.3">
      <c r="A389" t="s">
        <v>545</v>
      </c>
      <c r="B389" s="2">
        <v>45330</v>
      </c>
      <c r="C389" s="2" t="str" cm="1">
        <f t="array" ref="C38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89">
        <f>YEAR(AllDataApr[[#This Row],[Date]])</f>
        <v>2024</v>
      </c>
      <c r="E389" s="1">
        <v>0.55625000000000002</v>
      </c>
      <c r="F389" s="2" t="str">
        <f>IF(AND(AllDataApr[[#This Row],[Time]]&lt;0.5, AllDataApr[[#This Row],[Time]]&gt;0.17)=TRUE, "Morning", IF(AND(AllDataApr[[#This Row],[Time]]&lt;0.75, AllDataApr[[#This Row],[Time]]&gt;=0.5)=TRUE, "Afternoon", IF(AND(AllDataApr[[#This Row],[Time]]&lt;1, AllDataApr[[#This Row],[Time]]&gt;=0.75)=TRUE, "Evening", "Night")))</f>
        <v>Afternoon</v>
      </c>
      <c r="G389" t="s">
        <v>59</v>
      </c>
      <c r="H389" t="str">
        <f>_xlfn.XLOOKUP(AllDataApr[[#This Row],[Location Name]], Locations[Row Labels],Locations[Group As])</f>
        <v>Preston-on-Stour River Bridge</v>
      </c>
      <c r="I389" t="str">
        <f>_xlfn.XLOOKUP(AllDataApr[[#This Row],[Site Name]],LocationsKey[Site Name],LocationsKey[Region])</f>
        <v>Stratford</v>
      </c>
      <c r="J389" t="str">
        <f>_xlfn.XLOOKUP(AllDataApr[[#This Row],[Site Name]],LocationsKey[Site Name], LocationsKey[Waterway])</f>
        <v>Stour</v>
      </c>
      <c r="K389" t="s">
        <v>78</v>
      </c>
      <c r="L389">
        <v>52.146526999999999</v>
      </c>
      <c r="M389">
        <v>-1.7002550000000001</v>
      </c>
      <c r="N389" t="s">
        <v>18</v>
      </c>
      <c r="O389">
        <v>547</v>
      </c>
      <c r="P389">
        <v>8.1</v>
      </c>
      <c r="Q389">
        <v>6</v>
      </c>
      <c r="R389" s="7" t="str">
        <f>IF(AllDataApr[[#This Row],[Nitrate (PPM)]]&gt;2, "Very high", IF(AllDataApr[[#This Row],[Nitrate (PPM)]]&gt;1, "High", IF(AllDataApr[[#This Row],[Nitrate (PPM)]]&gt;0.5, "Some evidence", IF(AllDataApr[[#This Row],[Nitrate (PPM)]]&gt;0, "No evidence", IF(AllDataApr[[#This Row],[Nitrate (PPM)]]=0, "")))))</f>
        <v>Very high</v>
      </c>
      <c r="S389">
        <v>0.22</v>
      </c>
      <c r="T389" s="7" t="str">
        <f>IF(AllDataApr[[#This Row],[Phosphate (PPM)]]&gt;0.5, "Very high", IF(AllDataApr[[#This Row],[Phosphate (PPM)]]&gt;0.1, "High", IF(AllDataApr[[#This Row],[Phosphate (PPM)]]&gt;0.05, "Some evidence", IF(AllDataApr[[#This Row],[Phosphate (PPM)]]=0, ""))))</f>
        <v>High</v>
      </c>
      <c r="U389">
        <v>2</v>
      </c>
      <c r="V389" t="s">
        <v>261</v>
      </c>
    </row>
    <row r="390" spans="1:22" x14ac:dyDescent="0.3">
      <c r="A390" t="s">
        <v>544</v>
      </c>
      <c r="B390" s="2">
        <v>45331</v>
      </c>
      <c r="C390" s="2" t="str" cm="1">
        <f t="array" ref="C39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90">
        <f>YEAR(AllDataApr[[#This Row],[Date]])</f>
        <v>2024</v>
      </c>
      <c r="E390" s="1">
        <v>0.61458333333333337</v>
      </c>
      <c r="F390" s="2" t="str">
        <f>IF(AND(AllDataApr[[#This Row],[Time]]&lt;0.5, AllDataApr[[#This Row],[Time]]&gt;0.17)=TRUE, "Morning", IF(AND(AllDataApr[[#This Row],[Time]]&lt;0.75, AllDataApr[[#This Row],[Time]]&gt;=0.5)=TRUE, "Afternoon", IF(AND(AllDataApr[[#This Row],[Time]]&lt;1, AllDataApr[[#This Row],[Time]]&gt;=0.75)=TRUE, "Evening", "Night")))</f>
        <v>Afternoon</v>
      </c>
      <c r="G390" t="s">
        <v>906</v>
      </c>
      <c r="H390" t="str">
        <f>_xlfn.XLOOKUP(AllDataApr[[#This Row],[Location Name]], Locations[Row Labels],Locations[Group As])</f>
        <v>Preston Bagot Canal</v>
      </c>
      <c r="I390" t="str">
        <f>_xlfn.XLOOKUP(AllDataApr[[#This Row],[Site Name]],LocationsKey[Site Name],LocationsKey[Region])</f>
        <v>Henley-in-Arden</v>
      </c>
      <c r="J390" t="str">
        <f>_xlfn.XLOOKUP(AllDataApr[[#This Row],[Site Name]],LocationsKey[Site Name], LocationsKey[Waterway])</f>
        <v>Preston Bagot Canal</v>
      </c>
      <c r="K390" t="s">
        <v>922</v>
      </c>
      <c r="N390" t="s">
        <v>200</v>
      </c>
      <c r="O390">
        <v>328</v>
      </c>
      <c r="P390">
        <v>11.5</v>
      </c>
      <c r="Q390">
        <v>2</v>
      </c>
      <c r="R390" s="7" t="str">
        <f>IF(AllDataApr[[#This Row],[Nitrate (PPM)]]&gt;2, "Very high", IF(AllDataApr[[#This Row],[Nitrate (PPM)]]&gt;1, "High", IF(AllDataApr[[#This Row],[Nitrate (PPM)]]&gt;0.5, "Some evidence", IF(AllDataApr[[#This Row],[Nitrate (PPM)]]&gt;0, "No evidence", IF(AllDataApr[[#This Row],[Nitrate (PPM)]]=0, "")))))</f>
        <v>High</v>
      </c>
      <c r="S390">
        <v>0.37</v>
      </c>
      <c r="T390" s="7" t="str">
        <f>IF(AllDataApr[[#This Row],[Phosphate (PPM)]]&gt;0.5, "Very high", IF(AllDataApr[[#This Row],[Phosphate (PPM)]]&gt;0.1, "High", IF(AllDataApr[[#This Row],[Phosphate (PPM)]]&gt;0.05, "Some evidence", IF(AllDataApr[[#This Row],[Phosphate (PPM)]]=0, ""))))</f>
        <v>High</v>
      </c>
      <c r="U390">
        <v>0</v>
      </c>
    </row>
    <row r="391" spans="1:22" x14ac:dyDescent="0.3">
      <c r="A391" t="s">
        <v>543</v>
      </c>
      <c r="B391" s="2">
        <v>45331</v>
      </c>
      <c r="C391" s="2" t="str" cm="1">
        <f t="array" ref="C39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91">
        <f>YEAR(AllDataApr[[#This Row],[Date]])</f>
        <v>2024</v>
      </c>
      <c r="E391" s="1">
        <v>0.625</v>
      </c>
      <c r="F391" s="2" t="str">
        <f>IF(AND(AllDataApr[[#This Row],[Time]]&lt;0.5, AllDataApr[[#This Row],[Time]]&gt;0.17)=TRUE, "Morning", IF(AND(AllDataApr[[#This Row],[Time]]&lt;0.75, AllDataApr[[#This Row],[Time]]&gt;=0.5)=TRUE, "Afternoon", IF(AND(AllDataApr[[#This Row],[Time]]&lt;1, AllDataApr[[#This Row],[Time]]&gt;=0.75)=TRUE, "Evening", "Night")))</f>
        <v>Afternoon</v>
      </c>
      <c r="G391" t="s">
        <v>906</v>
      </c>
      <c r="H391" t="str">
        <f>_xlfn.XLOOKUP(AllDataApr[[#This Row],[Location Name]], Locations[Row Labels],Locations[Group As])</f>
        <v>Preston Bagot Brook</v>
      </c>
      <c r="I391" t="str">
        <f>_xlfn.XLOOKUP(AllDataApr[[#This Row],[Site Name]],LocationsKey[Site Name],LocationsKey[Region])</f>
        <v>Henley-in-Arden</v>
      </c>
      <c r="J391" t="str">
        <f>_xlfn.XLOOKUP(AllDataApr[[#This Row],[Site Name]],LocationsKey[Site Name], LocationsKey[Waterway])</f>
        <v>Preston Bagot Brook</v>
      </c>
      <c r="K391" t="s">
        <v>921</v>
      </c>
      <c r="N391" t="s">
        <v>200</v>
      </c>
      <c r="O391">
        <v>243</v>
      </c>
      <c r="P391">
        <v>11.9</v>
      </c>
      <c r="Q391">
        <v>2</v>
      </c>
      <c r="R391" s="7" t="str">
        <f>IF(AllDataApr[[#This Row],[Nitrate (PPM)]]&gt;2, "Very high", IF(AllDataApr[[#This Row],[Nitrate (PPM)]]&gt;1, "High", IF(AllDataApr[[#This Row],[Nitrate (PPM)]]&gt;0.5, "Some evidence", IF(AllDataApr[[#This Row],[Nitrate (PPM)]]&gt;0, "No evidence", IF(AllDataApr[[#This Row],[Nitrate (PPM)]]=0, "")))))</f>
        <v>High</v>
      </c>
      <c r="S391">
        <v>0.59</v>
      </c>
      <c r="T391" s="7" t="str">
        <f>IF(AllDataApr[[#This Row],[Phosphate (PPM)]]&gt;0.5, "Very high", IF(AllDataApr[[#This Row],[Phosphate (PPM)]]&gt;0.1, "High", IF(AllDataApr[[#This Row],[Phosphate (PPM)]]&gt;0.05, "Some evidence", IF(AllDataApr[[#This Row],[Phosphate (PPM)]]=0, ""))))</f>
        <v>Very high</v>
      </c>
      <c r="U391">
        <v>0</v>
      </c>
    </row>
    <row r="392" spans="1:22" x14ac:dyDescent="0.3">
      <c r="A392" t="s">
        <v>540</v>
      </c>
      <c r="B392" s="2">
        <v>45332</v>
      </c>
      <c r="C392" s="2" t="str" cm="1">
        <f t="array" ref="C39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92">
        <f>YEAR(AllDataApr[[#This Row],[Date]])</f>
        <v>2024</v>
      </c>
      <c r="E392" s="1">
        <v>0.5</v>
      </c>
      <c r="F392" s="2" t="str">
        <f>IF(AND(AllDataApr[[#This Row],[Time]]&lt;0.5, AllDataApr[[#This Row],[Time]]&gt;0.17)=TRUE, "Morning", IF(AND(AllDataApr[[#This Row],[Time]]&lt;0.75, AllDataApr[[#This Row],[Time]]&gt;=0.5)=TRUE, "Afternoon", IF(AND(AllDataApr[[#This Row],[Time]]&lt;1, AllDataApr[[#This Row],[Time]]&gt;=0.75)=TRUE, "Evening", "Night")))</f>
        <v>Afternoon</v>
      </c>
      <c r="G392" t="s">
        <v>52</v>
      </c>
      <c r="H392" t="str">
        <f>_xlfn.XLOOKUP(AllDataApr[[#This Row],[Location Name]], Locations[Row Labels],Locations[Group As])</f>
        <v>Carrant Bredon Rd</v>
      </c>
      <c r="I392" t="str">
        <f>_xlfn.XLOOKUP(AllDataApr[[#This Row],[Site Name]],LocationsKey[Site Name],LocationsKey[Region])</f>
        <v>Tewkesbury</v>
      </c>
      <c r="J392" t="str">
        <f>_xlfn.XLOOKUP(AllDataApr[[#This Row],[Site Name]],LocationsKey[Site Name], LocationsKey[Waterway])</f>
        <v>Carrant</v>
      </c>
      <c r="K392" t="s">
        <v>179</v>
      </c>
      <c r="L392">
        <v>51.996360000000003</v>
      </c>
      <c r="M392">
        <v>-2.1560489999999999</v>
      </c>
      <c r="N392" t="s">
        <v>200</v>
      </c>
      <c r="O392">
        <v>437</v>
      </c>
      <c r="P392">
        <v>10</v>
      </c>
      <c r="Q392">
        <v>3</v>
      </c>
      <c r="R392" s="7" t="str">
        <f>IF(AllDataApr[[#This Row],[Nitrate (PPM)]]&gt;2, "Very high", IF(AllDataApr[[#This Row],[Nitrate (PPM)]]&gt;1, "High", IF(AllDataApr[[#This Row],[Nitrate (PPM)]]&gt;0.5, "Some evidence", IF(AllDataApr[[#This Row],[Nitrate (PPM)]]&gt;0, "No evidence", IF(AllDataApr[[#This Row],[Nitrate (PPM)]]=0, "")))))</f>
        <v>Very high</v>
      </c>
      <c r="S392">
        <v>0.73</v>
      </c>
      <c r="T392" s="7" t="str">
        <f>IF(AllDataApr[[#This Row],[Phosphate (PPM)]]&gt;0.5, "Very high", IF(AllDataApr[[#This Row],[Phosphate (PPM)]]&gt;0.1, "High", IF(AllDataApr[[#This Row],[Phosphate (PPM)]]&gt;0.05, "Some evidence", IF(AllDataApr[[#This Row],[Phosphate (PPM)]]=0, ""))))</f>
        <v>Very high</v>
      </c>
      <c r="U392">
        <v>2.15</v>
      </c>
      <c r="V392" t="s">
        <v>262</v>
      </c>
    </row>
    <row r="393" spans="1:22" x14ac:dyDescent="0.3">
      <c r="A393" t="s">
        <v>508</v>
      </c>
      <c r="B393" s="2">
        <v>45333</v>
      </c>
      <c r="C393" s="2" t="str" cm="1">
        <f t="array" ref="C39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93">
        <f>YEAR(AllDataApr[[#This Row],[Date]])</f>
        <v>2024</v>
      </c>
      <c r="E393" s="1">
        <v>0.4236111111111111</v>
      </c>
      <c r="F393" s="2" t="str">
        <f>IF(AND(AllDataApr[[#This Row],[Time]]&lt;0.5, AllDataApr[[#This Row],[Time]]&gt;0.17)=TRUE, "Morning", IF(AND(AllDataApr[[#This Row],[Time]]&lt;0.75, AllDataApr[[#This Row],[Time]]&gt;=0.5)=TRUE, "Afternoon", IF(AND(AllDataApr[[#This Row],[Time]]&lt;1, AllDataApr[[#This Row],[Time]]&gt;=0.75)=TRUE, "Evening", "Night")))</f>
        <v>Morning</v>
      </c>
      <c r="G393" t="s">
        <v>218</v>
      </c>
      <c r="H393" t="str">
        <f>_xlfn.XLOOKUP(AllDataApr[[#This Row],[Location Name]], Locations[Row Labels],Locations[Group As])</f>
        <v>Fell Mill Footbridge</v>
      </c>
      <c r="I393" t="str">
        <f>_xlfn.XLOOKUP(AllDataApr[[#This Row],[Site Name]],LocationsKey[Site Name],LocationsKey[Region])</f>
        <v>Shipston</v>
      </c>
      <c r="J393" t="str">
        <f>_xlfn.XLOOKUP(AllDataApr[[#This Row],[Site Name]],LocationsKey[Site Name], LocationsKey[Waterway])</f>
        <v>Stour</v>
      </c>
      <c r="K393" t="s">
        <v>227</v>
      </c>
      <c r="L393">
        <v>52.070131000000003</v>
      </c>
      <c r="M393">
        <v>-1.6114869999999999</v>
      </c>
      <c r="N393" t="s">
        <v>18</v>
      </c>
      <c r="O393">
        <v>559</v>
      </c>
      <c r="P393">
        <v>8.5</v>
      </c>
      <c r="Q393">
        <v>10</v>
      </c>
      <c r="R393" s="7" t="str">
        <f>IF(AllDataApr[[#This Row],[Nitrate (PPM)]]&gt;2, "Very high", IF(AllDataApr[[#This Row],[Nitrate (PPM)]]&gt;1, "High", IF(AllDataApr[[#This Row],[Nitrate (PPM)]]&gt;0.5, "Some evidence", IF(AllDataApr[[#This Row],[Nitrate (PPM)]]&gt;0, "No evidence", IF(AllDataApr[[#This Row],[Nitrate (PPM)]]=0, "")))))</f>
        <v>Very high</v>
      </c>
      <c r="S393">
        <v>0.71</v>
      </c>
      <c r="T393" s="7" t="str">
        <f>IF(AllDataApr[[#This Row],[Phosphate (PPM)]]&gt;0.5, "Very high", IF(AllDataApr[[#This Row],[Phosphate (PPM)]]&gt;0.1, "High", IF(AllDataApr[[#This Row],[Phosphate (PPM)]]&gt;0.05, "Some evidence", IF(AllDataApr[[#This Row],[Phosphate (PPM)]]=0, ""))))</f>
        <v>Very high</v>
      </c>
      <c r="U393">
        <v>1.5</v>
      </c>
    </row>
    <row r="394" spans="1:22" x14ac:dyDescent="0.3">
      <c r="A394" t="s">
        <v>527</v>
      </c>
      <c r="B394" s="2">
        <v>45333</v>
      </c>
      <c r="C394" s="2" t="str" cm="1">
        <f t="array" ref="C39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94">
        <f>YEAR(AllDataApr[[#This Row],[Date]])</f>
        <v>2024</v>
      </c>
      <c r="E394" s="1">
        <v>0.47916666666666669</v>
      </c>
      <c r="F394" s="2" t="str">
        <f>IF(AND(AllDataApr[[#This Row],[Time]]&lt;0.5, AllDataApr[[#This Row],[Time]]&gt;0.17)=TRUE, "Morning", IF(AND(AllDataApr[[#This Row],[Time]]&lt;0.75, AllDataApr[[#This Row],[Time]]&gt;=0.5)=TRUE, "Afternoon", IF(AND(AllDataApr[[#This Row],[Time]]&lt;1, AllDataApr[[#This Row],[Time]]&gt;=0.75)=TRUE, "Evening", "Night")))</f>
        <v>Morning</v>
      </c>
      <c r="G394" t="s">
        <v>224</v>
      </c>
      <c r="H394" t="str">
        <f>_xlfn.XLOOKUP(AllDataApr[[#This Row],[Location Name]], Locations[Row Labels],Locations[Group As])</f>
        <v>The Ford, Langley</v>
      </c>
      <c r="I394" t="str">
        <f>_xlfn.XLOOKUP(AllDataApr[[#This Row],[Site Name]],LocationsKey[Site Name],LocationsKey[Region])</f>
        <v>Henley-in-Arden</v>
      </c>
      <c r="J394" t="str">
        <f>_xlfn.XLOOKUP(AllDataApr[[#This Row],[Site Name]],LocationsKey[Site Name], LocationsKey[Waterway])</f>
        <v>Langley Ford</v>
      </c>
      <c r="K394" t="s">
        <v>230</v>
      </c>
      <c r="L394">
        <v>52.259639</v>
      </c>
      <c r="M394">
        <v>-1.7181999999999999</v>
      </c>
      <c r="N394" t="s">
        <v>18</v>
      </c>
      <c r="O394">
        <v>446</v>
      </c>
      <c r="P394">
        <v>9.4</v>
      </c>
      <c r="Q394">
        <v>7</v>
      </c>
      <c r="R394" s="7" t="str">
        <f>IF(AllDataApr[[#This Row],[Nitrate (PPM)]]&gt;2, "Very high", IF(AllDataApr[[#This Row],[Nitrate (PPM)]]&gt;1, "High", IF(AllDataApr[[#This Row],[Nitrate (PPM)]]&gt;0.5, "Some evidence", IF(AllDataApr[[#This Row],[Nitrate (PPM)]]&gt;0, "No evidence", IF(AllDataApr[[#This Row],[Nitrate (PPM)]]=0, "")))))</f>
        <v>Very high</v>
      </c>
      <c r="S394">
        <v>0.78</v>
      </c>
      <c r="T394" s="7" t="str">
        <f>IF(AllDataApr[[#This Row],[Phosphate (PPM)]]&gt;0.5, "Very high", IF(AllDataApr[[#This Row],[Phosphate (PPM)]]&gt;0.1, "High", IF(AllDataApr[[#This Row],[Phosphate (PPM)]]&gt;0.05, "Some evidence", IF(AllDataApr[[#This Row],[Phosphate (PPM)]]=0, ""))))</f>
        <v>Very high</v>
      </c>
      <c r="U394">
        <v>0.4</v>
      </c>
      <c r="V394" t="s">
        <v>263</v>
      </c>
    </row>
    <row r="395" spans="1:22" x14ac:dyDescent="0.3">
      <c r="A395" t="s">
        <v>534</v>
      </c>
      <c r="B395" s="2">
        <v>45333</v>
      </c>
      <c r="C395" s="2" t="str" cm="1">
        <f t="array" ref="C39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95">
        <f>YEAR(AllDataApr[[#This Row],[Date]])</f>
        <v>2024</v>
      </c>
      <c r="E395" s="1">
        <v>0.57986111111111116</v>
      </c>
      <c r="F395" s="2" t="str">
        <f>IF(AND(AllDataApr[[#This Row],[Time]]&lt;0.5, AllDataApr[[#This Row],[Time]]&gt;0.17)=TRUE, "Morning", IF(AND(AllDataApr[[#This Row],[Time]]&lt;0.75, AllDataApr[[#This Row],[Time]]&gt;=0.5)=TRUE, "Afternoon", IF(AND(AllDataApr[[#This Row],[Time]]&lt;1, AllDataApr[[#This Row],[Time]]&gt;=0.75)=TRUE, "Evening", "Night")))</f>
        <v>Afternoon</v>
      </c>
      <c r="G395" t="s">
        <v>112</v>
      </c>
      <c r="H395" t="str">
        <f>_xlfn.XLOOKUP(AllDataApr[[#This Row],[Location Name]], Locations[Row Labels],Locations[Group As])</f>
        <v>Clifford Chambers Mill Bridge</v>
      </c>
      <c r="I395" t="str">
        <f>_xlfn.XLOOKUP(AllDataApr[[#This Row],[Site Name]],LocationsKey[Site Name],LocationsKey[Region])</f>
        <v>Stratford</v>
      </c>
      <c r="J395" t="str">
        <f>_xlfn.XLOOKUP(AllDataApr[[#This Row],[Site Name]],LocationsKey[Site Name], LocationsKey[Waterway])</f>
        <v>Stour</v>
      </c>
      <c r="K395" t="s">
        <v>119</v>
      </c>
      <c r="L395">
        <v>52.166370000000001</v>
      </c>
      <c r="M395">
        <v>-1.708032</v>
      </c>
      <c r="N395" t="s">
        <v>1047</v>
      </c>
      <c r="O395">
        <v>554</v>
      </c>
      <c r="P395">
        <v>11.3</v>
      </c>
      <c r="Q395">
        <v>4</v>
      </c>
      <c r="R395" s="7" t="str">
        <f>IF(AllDataApr[[#This Row],[Nitrate (PPM)]]&gt;2, "Very high", IF(AllDataApr[[#This Row],[Nitrate (PPM)]]&gt;1, "High", IF(AllDataApr[[#This Row],[Nitrate (PPM)]]&gt;0.5, "Some evidence", IF(AllDataApr[[#This Row],[Nitrate (PPM)]]&gt;0, "No evidence", IF(AllDataApr[[#This Row],[Nitrate (PPM)]]=0, "")))))</f>
        <v>Very high</v>
      </c>
      <c r="S395">
        <v>0.4</v>
      </c>
      <c r="T395" s="7" t="str">
        <f>IF(AllDataApr[[#This Row],[Phosphate (PPM)]]&gt;0.5, "Very high", IF(AllDataApr[[#This Row],[Phosphate (PPM)]]&gt;0.1, "High", IF(AllDataApr[[#This Row],[Phosphate (PPM)]]&gt;0.05, "Some evidence", IF(AllDataApr[[#This Row],[Phosphate (PPM)]]=0, ""))))</f>
        <v>High</v>
      </c>
      <c r="U395">
        <v>1.4</v>
      </c>
      <c r="V395" t="s">
        <v>265</v>
      </c>
    </row>
    <row r="396" spans="1:22" x14ac:dyDescent="0.3">
      <c r="A396" s="11" t="s">
        <v>533</v>
      </c>
      <c r="B396" s="2">
        <v>45333</v>
      </c>
      <c r="C396" s="2" t="str" cm="1">
        <f t="array" ref="C39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96">
        <f>YEAR(AllDataApr[[#This Row],[Date]])</f>
        <v>2024</v>
      </c>
      <c r="E396" s="1">
        <v>0.61250000000000004</v>
      </c>
      <c r="F396" s="2" t="str">
        <f>IF(AND(AllDataApr[[#This Row],[Time]]&lt;0.5, AllDataApr[[#This Row],[Time]]&gt;0.17)=TRUE, "Morning", IF(AND(AllDataApr[[#This Row],[Time]]&lt;0.75, AllDataApr[[#This Row],[Time]]&gt;=0.5)=TRUE, "Afternoon", IF(AND(AllDataApr[[#This Row],[Time]]&lt;1, AllDataApr[[#This Row],[Time]]&gt;=0.75)=TRUE, "Evening", "Night")))</f>
        <v>Afternoon</v>
      </c>
      <c r="G396" t="s">
        <v>11</v>
      </c>
      <c r="H396" t="str">
        <f>_xlfn.XLOOKUP(AllDataApr[[#This Row],[Location Name]], Locations[Row Labels],Locations[Group As])</f>
        <v>Black Bear</v>
      </c>
      <c r="I396" t="str">
        <f>_xlfn.XLOOKUP(AllDataApr[[#This Row],[Site Name]],LocationsKey[Site Name],LocationsKey[Region])</f>
        <v>Tewkesbury</v>
      </c>
      <c r="J396" t="str">
        <f>_xlfn.XLOOKUP(AllDataApr[[#This Row],[Site Name]],LocationsKey[Site Name], LocationsKey[Waterway])</f>
        <v>Avon</v>
      </c>
      <c r="K396" t="s">
        <v>231</v>
      </c>
      <c r="L396">
        <v>51.997478000000001</v>
      </c>
      <c r="M396">
        <v>-2.1562610000000002</v>
      </c>
      <c r="N396" t="s">
        <v>200</v>
      </c>
      <c r="O396">
        <v>415</v>
      </c>
      <c r="P396">
        <v>12</v>
      </c>
      <c r="Q396">
        <v>7</v>
      </c>
      <c r="R396" s="7" t="str">
        <f>IF(AllDataApr[[#This Row],[Nitrate (PPM)]]&gt;2, "Very high", IF(AllDataApr[[#This Row],[Nitrate (PPM)]]&gt;1, "High", IF(AllDataApr[[#This Row],[Nitrate (PPM)]]&gt;0.5, "Some evidence", IF(AllDataApr[[#This Row],[Nitrate (PPM)]]&gt;0, "No evidence", IF(AllDataApr[[#This Row],[Nitrate (PPM)]]=0, "")))))</f>
        <v>Very high</v>
      </c>
      <c r="S396">
        <v>0.91</v>
      </c>
      <c r="T396" s="7" t="str">
        <f>IF(AllDataApr[[#This Row],[Phosphate (PPM)]]&gt;0.5, "Very high", IF(AllDataApr[[#This Row],[Phosphate (PPM)]]&gt;0.1, "High", IF(AllDataApr[[#This Row],[Phosphate (PPM)]]&gt;0.05, "Some evidence", IF(AllDataApr[[#This Row],[Phosphate (PPM)]]=0, ""))))</f>
        <v>Very high</v>
      </c>
      <c r="U396">
        <v>3</v>
      </c>
      <c r="V396" t="s">
        <v>122</v>
      </c>
    </row>
    <row r="397" spans="1:22" x14ac:dyDescent="0.3">
      <c r="A397" t="s">
        <v>495</v>
      </c>
      <c r="B397" s="2">
        <v>45333</v>
      </c>
      <c r="C397" s="2" t="str" cm="1">
        <f t="array" ref="C39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97">
        <f>YEAR(AllDataApr[[#This Row],[Date]])</f>
        <v>2024</v>
      </c>
      <c r="E397" s="1">
        <v>0.625</v>
      </c>
      <c r="F397" s="2" t="str">
        <f>IF(AND(AllDataApr[[#This Row],[Time]]&lt;0.5, AllDataApr[[#This Row],[Time]]&gt;0.17)=TRUE, "Morning", IF(AND(AllDataApr[[#This Row],[Time]]&lt;0.75, AllDataApr[[#This Row],[Time]]&gt;=0.5)=TRUE, "Afternoon", IF(AND(AllDataApr[[#This Row],[Time]]&lt;1, AllDataApr[[#This Row],[Time]]&gt;=0.75)=TRUE, "Evening", "Night")))</f>
        <v>Afternoon</v>
      </c>
      <c r="G397" t="s">
        <v>275</v>
      </c>
      <c r="H397" t="str">
        <f>_xlfn.XLOOKUP(AllDataApr[[#This Row],[Location Name]], Locations[Row Labels],Locations[Group As])</f>
        <v>Sherbourne Brook 1</v>
      </c>
      <c r="I397" t="str">
        <f>_xlfn.XLOOKUP(AllDataApr[[#This Row],[Site Name]],LocationsKey[Site Name],LocationsKey[Region])</f>
        <v>Stratford</v>
      </c>
      <c r="J397" t="str">
        <f>_xlfn.XLOOKUP(AllDataApr[[#This Row],[Site Name]],LocationsKey[Site Name], LocationsKey[Waterway])</f>
        <v>Sherbourne Brook</v>
      </c>
      <c r="K397" t="s">
        <v>280</v>
      </c>
      <c r="N397" t="s">
        <v>200</v>
      </c>
      <c r="O397">
        <v>801</v>
      </c>
      <c r="P397">
        <v>9.5</v>
      </c>
      <c r="Q397">
        <v>7</v>
      </c>
      <c r="R397" s="7" t="str">
        <f>IF(AllDataApr[[#This Row],[Nitrate (PPM)]]&gt;2, "Very high", IF(AllDataApr[[#This Row],[Nitrate (PPM)]]&gt;1, "High", IF(AllDataApr[[#This Row],[Nitrate (PPM)]]&gt;0.5, "Some evidence", IF(AllDataApr[[#This Row],[Nitrate (PPM)]]&gt;0, "No evidence", IF(AllDataApr[[#This Row],[Nitrate (PPM)]]=0, "")))))</f>
        <v>Very high</v>
      </c>
      <c r="S397">
        <v>0.72</v>
      </c>
      <c r="T397" s="7" t="str">
        <f>IF(AllDataApr[[#This Row],[Phosphate (PPM)]]&gt;0.5, "Very high", IF(AllDataApr[[#This Row],[Phosphate (PPM)]]&gt;0.1, "High", IF(AllDataApr[[#This Row],[Phosphate (PPM)]]&gt;0.05, "Some evidence", IF(AllDataApr[[#This Row],[Phosphate (PPM)]]=0, ""))))</f>
        <v>Very high</v>
      </c>
      <c r="U397">
        <v>0.5</v>
      </c>
    </row>
    <row r="398" spans="1:22" x14ac:dyDescent="0.3">
      <c r="A398" t="s">
        <v>507</v>
      </c>
      <c r="B398" s="2">
        <v>45333</v>
      </c>
      <c r="C398" s="2" t="str" cm="1">
        <f t="array" ref="C39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98">
        <f>YEAR(AllDataApr[[#This Row],[Date]])</f>
        <v>2024</v>
      </c>
      <c r="E398" s="1">
        <v>0.63194444444444442</v>
      </c>
      <c r="F398" s="2" t="str">
        <f>IF(AND(AllDataApr[[#This Row],[Time]]&lt;0.5, AllDataApr[[#This Row],[Time]]&gt;0.17)=TRUE, "Morning", IF(AND(AllDataApr[[#This Row],[Time]]&lt;0.75, AllDataApr[[#This Row],[Time]]&gt;=0.5)=TRUE, "Afternoon", IF(AND(AllDataApr[[#This Row],[Time]]&lt;1, AllDataApr[[#This Row],[Time]]&gt;=0.75)=TRUE, "Evening", "Night")))</f>
        <v>Afternoon</v>
      </c>
      <c r="G398" t="s">
        <v>199</v>
      </c>
      <c r="H398" t="str">
        <f>_xlfn.XLOOKUP(AllDataApr[[#This Row],[Location Name]], Locations[Row Labels],Locations[Group As])</f>
        <v>Stour Shipston Mill Bridge</v>
      </c>
      <c r="I398" t="str">
        <f>_xlfn.XLOOKUP(AllDataApr[[#This Row],[Site Name]],LocationsKey[Site Name],LocationsKey[Region])</f>
        <v>Shipston</v>
      </c>
      <c r="J398" t="str">
        <f>_xlfn.XLOOKUP(AllDataApr[[#This Row],[Site Name]],LocationsKey[Site Name], LocationsKey[Waterway])</f>
        <v>Stour</v>
      </c>
      <c r="K398" t="s">
        <v>165</v>
      </c>
      <c r="L398">
        <v>52.061956000000002</v>
      </c>
      <c r="M398">
        <v>-1.621896</v>
      </c>
      <c r="N398" t="s">
        <v>200</v>
      </c>
      <c r="O398">
        <v>472</v>
      </c>
      <c r="P398">
        <v>8</v>
      </c>
      <c r="Q398">
        <v>5</v>
      </c>
      <c r="R398" s="7" t="str">
        <f>IF(AllDataApr[[#This Row],[Nitrate (PPM)]]&gt;2, "Very high", IF(AllDataApr[[#This Row],[Nitrate (PPM)]]&gt;1, "High", IF(AllDataApr[[#This Row],[Nitrate (PPM)]]&gt;0.5, "Some evidence", IF(AllDataApr[[#This Row],[Nitrate (PPM)]]&gt;0, "No evidence", IF(AllDataApr[[#This Row],[Nitrate (PPM)]]=0, "")))))</f>
        <v>Very high</v>
      </c>
      <c r="S398">
        <v>0.46</v>
      </c>
      <c r="T398" s="7" t="str">
        <f>IF(AllDataApr[[#This Row],[Phosphate (PPM)]]&gt;0.5, "Very high", IF(AllDataApr[[#This Row],[Phosphate (PPM)]]&gt;0.1, "High", IF(AllDataApr[[#This Row],[Phosphate (PPM)]]&gt;0.05, "Some evidence", IF(AllDataApr[[#This Row],[Phosphate (PPM)]]=0, ""))))</f>
        <v>High</v>
      </c>
      <c r="U398">
        <v>1</v>
      </c>
    </row>
    <row r="399" spans="1:22" x14ac:dyDescent="0.3">
      <c r="A399" t="s">
        <v>494</v>
      </c>
      <c r="B399" s="2">
        <v>45333</v>
      </c>
      <c r="C399" s="2" t="str" cm="1">
        <f t="array" ref="C39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399">
        <f>YEAR(AllDataApr[[#This Row],[Date]])</f>
        <v>2024</v>
      </c>
      <c r="E399" s="1">
        <v>0.63541666666666663</v>
      </c>
      <c r="F399" s="2" t="str">
        <f>IF(AND(AllDataApr[[#This Row],[Time]]&lt;0.5, AllDataApr[[#This Row],[Time]]&gt;0.17)=TRUE, "Morning", IF(AND(AllDataApr[[#This Row],[Time]]&lt;0.75, AllDataApr[[#This Row],[Time]]&gt;=0.5)=TRUE, "Afternoon", IF(AND(AllDataApr[[#This Row],[Time]]&lt;1, AllDataApr[[#This Row],[Time]]&gt;=0.75)=TRUE, "Evening", "Night")))</f>
        <v>Afternoon</v>
      </c>
      <c r="G399" t="s">
        <v>275</v>
      </c>
      <c r="H399" t="str">
        <f>_xlfn.XLOOKUP(AllDataApr[[#This Row],[Location Name]], Locations[Row Labels],Locations[Group As])</f>
        <v>Bell Brook 1</v>
      </c>
      <c r="I399" t="str">
        <f>_xlfn.XLOOKUP(AllDataApr[[#This Row],[Site Name]],LocationsKey[Site Name],LocationsKey[Region])</f>
        <v>Stratford</v>
      </c>
      <c r="J399" t="str">
        <f>_xlfn.XLOOKUP(AllDataApr[[#This Row],[Site Name]],LocationsKey[Site Name], LocationsKey[Waterway])</f>
        <v>Bell Brook</v>
      </c>
      <c r="K399" t="s">
        <v>279</v>
      </c>
      <c r="N399" t="s">
        <v>200</v>
      </c>
      <c r="O399">
        <v>545</v>
      </c>
      <c r="P399">
        <v>9</v>
      </c>
      <c r="Q399">
        <v>5</v>
      </c>
      <c r="R399" s="7" t="str">
        <f>IF(AllDataApr[[#This Row],[Nitrate (PPM)]]&gt;2, "Very high", IF(AllDataApr[[#This Row],[Nitrate (PPM)]]&gt;1, "High", IF(AllDataApr[[#This Row],[Nitrate (PPM)]]&gt;0.5, "Some evidence", IF(AllDataApr[[#This Row],[Nitrate (PPM)]]&gt;0, "No evidence", IF(AllDataApr[[#This Row],[Nitrate (PPM)]]=0, "")))))</f>
        <v>Very high</v>
      </c>
      <c r="S399">
        <v>0.47</v>
      </c>
      <c r="T399" s="7" t="str">
        <f>IF(AllDataApr[[#This Row],[Phosphate (PPM)]]&gt;0.5, "Very high", IF(AllDataApr[[#This Row],[Phosphate (PPM)]]&gt;0.1, "High", IF(AllDataApr[[#This Row],[Phosphate (PPM)]]&gt;0.05, "Some evidence", IF(AllDataApr[[#This Row],[Phosphate (PPM)]]=0, ""))))</f>
        <v>High</v>
      </c>
      <c r="U399">
        <v>0.5</v>
      </c>
    </row>
    <row r="400" spans="1:22" x14ac:dyDescent="0.3">
      <c r="A400" t="s">
        <v>532</v>
      </c>
      <c r="B400" s="2">
        <v>45333</v>
      </c>
      <c r="C400" s="2" t="str" cm="1">
        <f t="array" ref="C40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00">
        <f>YEAR(AllDataApr[[#This Row],[Date]])</f>
        <v>2024</v>
      </c>
      <c r="E400" s="1">
        <v>0.67083333333333328</v>
      </c>
      <c r="F400" s="2" t="str">
        <f>IF(AND(AllDataApr[[#This Row],[Time]]&lt;0.5, AllDataApr[[#This Row],[Time]]&gt;0.17)=TRUE, "Morning", IF(AND(AllDataApr[[#This Row],[Time]]&lt;0.75, AllDataApr[[#This Row],[Time]]&gt;=0.5)=TRUE, "Afternoon", IF(AND(AllDataApr[[#This Row],[Time]]&lt;1, AllDataApr[[#This Row],[Time]]&gt;=0.75)=TRUE, "Evening", "Night")))</f>
        <v>Afternoon</v>
      </c>
      <c r="G400" t="s">
        <v>223</v>
      </c>
      <c r="H400" t="str">
        <f>_xlfn.XLOOKUP(AllDataApr[[#This Row],[Location Name]], Locations[Row Labels],Locations[Group As])</f>
        <v>Abbey Mill</v>
      </c>
      <c r="I400" t="str">
        <f>_xlfn.XLOOKUP(AllDataApr[[#This Row],[Site Name]],LocationsKey[Site Name],LocationsKey[Region])</f>
        <v>Tewkesbury</v>
      </c>
      <c r="J400" t="str">
        <f>_xlfn.XLOOKUP(AllDataApr[[#This Row],[Site Name]],LocationsKey[Site Name], LocationsKey[Waterway])</f>
        <v>Avon</v>
      </c>
      <c r="K400" t="s">
        <v>13</v>
      </c>
      <c r="L400">
        <v>51.991112999999999</v>
      </c>
      <c r="M400">
        <v>-2.1623269999999999</v>
      </c>
      <c r="N400" t="s">
        <v>18</v>
      </c>
      <c r="O400">
        <v>430</v>
      </c>
      <c r="P400">
        <v>9.8000000000000007</v>
      </c>
      <c r="Q400">
        <v>4</v>
      </c>
      <c r="R400" s="7" t="str">
        <f>IF(AllDataApr[[#This Row],[Nitrate (PPM)]]&gt;2, "Very high", IF(AllDataApr[[#This Row],[Nitrate (PPM)]]&gt;1, "High", IF(AllDataApr[[#This Row],[Nitrate (PPM)]]&gt;0.5, "Some evidence", IF(AllDataApr[[#This Row],[Nitrate (PPM)]]&gt;0, "No evidence", IF(AllDataApr[[#This Row],[Nitrate (PPM)]]=0, "")))))</f>
        <v>Very high</v>
      </c>
      <c r="S400">
        <v>0.71</v>
      </c>
      <c r="T400" s="7" t="str">
        <f>IF(AllDataApr[[#This Row],[Phosphate (PPM)]]&gt;0.5, "Very high", IF(AllDataApr[[#This Row],[Phosphate (PPM)]]&gt;0.1, "High", IF(AllDataApr[[#This Row],[Phosphate (PPM)]]&gt;0.05, "Some evidence", IF(AllDataApr[[#This Row],[Phosphate (PPM)]]=0, ""))))</f>
        <v>Very high</v>
      </c>
      <c r="U400">
        <v>2.5</v>
      </c>
      <c r="V400" t="s">
        <v>264</v>
      </c>
    </row>
    <row r="401" spans="1:22" x14ac:dyDescent="0.3">
      <c r="A401" t="s">
        <v>524</v>
      </c>
      <c r="B401" s="2">
        <v>45336</v>
      </c>
      <c r="C401" s="2" t="str" cm="1">
        <f t="array" ref="C40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01">
        <f>YEAR(AllDataApr[[#This Row],[Date]])</f>
        <v>2024</v>
      </c>
      <c r="E401" s="1">
        <v>0.11458333333333333</v>
      </c>
      <c r="F401" s="2" t="str">
        <f>IF(AND(AllDataApr[[#This Row],[Time]]&lt;0.5, AllDataApr[[#This Row],[Time]]&gt;0.17)=TRUE, "Morning", IF(AND(AllDataApr[[#This Row],[Time]]&lt;0.75, AllDataApr[[#This Row],[Time]]&gt;=0.5)=TRUE, "Afternoon", IF(AND(AllDataApr[[#This Row],[Time]]&lt;1, AllDataApr[[#This Row],[Time]]&gt;=0.75)=TRUE, "Evening", "Night")))</f>
        <v>Night</v>
      </c>
      <c r="G401" t="s">
        <v>139</v>
      </c>
      <c r="H401" t="str">
        <f>_xlfn.XLOOKUP(AllDataApr[[#This Row],[Location Name]], Locations[Row Labels],Locations[Group As])</f>
        <v>Swiffen Bank</v>
      </c>
      <c r="I401" t="str">
        <f>_xlfn.XLOOKUP(AllDataApr[[#This Row],[Site Name]],LocationsKey[Site Name],LocationsKey[Region])</f>
        <v>Stratford</v>
      </c>
      <c r="J401" t="str">
        <f>_xlfn.XLOOKUP(AllDataApr[[#This Row],[Site Name]],LocationsKey[Site Name], LocationsKey[Waterway])</f>
        <v>Avon</v>
      </c>
      <c r="K401" t="s">
        <v>130</v>
      </c>
      <c r="L401">
        <v>52.206477999999997</v>
      </c>
      <c r="M401">
        <v>-1.653894</v>
      </c>
      <c r="N401" t="s">
        <v>18</v>
      </c>
      <c r="O401">
        <v>535</v>
      </c>
      <c r="P401">
        <v>13.4</v>
      </c>
      <c r="Q401">
        <v>5</v>
      </c>
      <c r="R401" s="7" t="str">
        <f>IF(AllDataApr[[#This Row],[Nitrate (PPM)]]&gt;2, "Very high", IF(AllDataApr[[#This Row],[Nitrate (PPM)]]&gt;1, "High", IF(AllDataApr[[#This Row],[Nitrate (PPM)]]&gt;0.5, "Some evidence", IF(AllDataApr[[#This Row],[Nitrate (PPM)]]&gt;0, "No evidence", IF(AllDataApr[[#This Row],[Nitrate (PPM)]]=0, "")))))</f>
        <v>Very high</v>
      </c>
      <c r="S401">
        <v>0.67</v>
      </c>
      <c r="T401" s="7" t="str">
        <f>IF(AllDataApr[[#This Row],[Phosphate (PPM)]]&gt;0.5, "Very high", IF(AllDataApr[[#This Row],[Phosphate (PPM)]]&gt;0.1, "High", IF(AllDataApr[[#This Row],[Phosphate (PPM)]]&gt;0.05, "Some evidence", IF(AllDataApr[[#This Row],[Phosphate (PPM)]]=0, ""))))</f>
        <v>Very high</v>
      </c>
      <c r="U401">
        <v>1.5</v>
      </c>
      <c r="V401" t="s">
        <v>267</v>
      </c>
    </row>
    <row r="402" spans="1:22" x14ac:dyDescent="0.3">
      <c r="A402" t="s">
        <v>526</v>
      </c>
      <c r="B402" s="2">
        <v>45336</v>
      </c>
      <c r="C402" s="2" t="str" cm="1">
        <f t="array" ref="C40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02">
        <f>YEAR(AllDataApr[[#This Row],[Date]])</f>
        <v>2024</v>
      </c>
      <c r="E402" s="1">
        <v>0.59722222222222221</v>
      </c>
      <c r="F402" s="2" t="str">
        <f>IF(AND(AllDataApr[[#This Row],[Time]]&lt;0.5, AllDataApr[[#This Row],[Time]]&gt;0.17)=TRUE, "Morning", IF(AND(AllDataApr[[#This Row],[Time]]&lt;0.75, AllDataApr[[#This Row],[Time]]&gt;=0.5)=TRUE, "Afternoon", IF(AND(AllDataApr[[#This Row],[Time]]&lt;1, AllDataApr[[#This Row],[Time]]&gt;=0.75)=TRUE, "Evening", "Night")))</f>
        <v>Afternoon</v>
      </c>
      <c r="G402" t="s">
        <v>150</v>
      </c>
      <c r="H402" t="str">
        <f>_xlfn.XLOOKUP(AllDataApr[[#This Row],[Location Name]], Locations[Row Labels],Locations[Group As])</f>
        <v>Stour Stretton-on-Fosse Village</v>
      </c>
      <c r="I402" t="str">
        <f>_xlfn.XLOOKUP(AllDataApr[[#This Row],[Site Name]],LocationsKey[Site Name],LocationsKey[Region])</f>
        <v>Shipston</v>
      </c>
      <c r="J402" t="str">
        <f>_xlfn.XLOOKUP(AllDataApr[[#This Row],[Site Name]],LocationsKey[Site Name], LocationsKey[Waterway])</f>
        <v>Stour</v>
      </c>
      <c r="K402" t="s">
        <v>198</v>
      </c>
      <c r="L402">
        <v>52.046551999999998</v>
      </c>
      <c r="M402">
        <v>-1.673411</v>
      </c>
      <c r="N402" t="s">
        <v>42</v>
      </c>
      <c r="O402">
        <v>418</v>
      </c>
      <c r="P402">
        <v>11.2</v>
      </c>
      <c r="Q402">
        <v>2</v>
      </c>
      <c r="R402" s="7" t="str">
        <f>IF(AllDataApr[[#This Row],[Nitrate (PPM)]]&gt;2, "Very high", IF(AllDataApr[[#This Row],[Nitrate (PPM)]]&gt;1, "High", IF(AllDataApr[[#This Row],[Nitrate (PPM)]]&gt;0.5, "Some evidence", IF(AllDataApr[[#This Row],[Nitrate (PPM)]]&gt;0, "No evidence", IF(AllDataApr[[#This Row],[Nitrate (PPM)]]=0, "")))))</f>
        <v>High</v>
      </c>
      <c r="S402">
        <v>0.31</v>
      </c>
      <c r="T402" s="7" t="str">
        <f>IF(AllDataApr[[#This Row],[Phosphate (PPM)]]&gt;0.5, "Very high", IF(AllDataApr[[#This Row],[Phosphate (PPM)]]&gt;0.1, "High", IF(AllDataApr[[#This Row],[Phosphate (PPM)]]&gt;0.05, "Some evidence", IF(AllDataApr[[#This Row],[Phosphate (PPM)]]=0, ""))))</f>
        <v>High</v>
      </c>
      <c r="U402">
        <v>0.45</v>
      </c>
    </row>
    <row r="403" spans="1:22" x14ac:dyDescent="0.3">
      <c r="A403" t="s">
        <v>525</v>
      </c>
      <c r="B403" s="2">
        <v>45336</v>
      </c>
      <c r="C403" s="2" t="str" cm="1">
        <f t="array" ref="C40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03">
        <f>YEAR(AllDataApr[[#This Row],[Date]])</f>
        <v>2024</v>
      </c>
      <c r="E403" s="1">
        <v>0.61319444444444449</v>
      </c>
      <c r="F403" s="2" t="str">
        <f>IF(AND(AllDataApr[[#This Row],[Time]]&lt;0.5, AllDataApr[[#This Row],[Time]]&gt;0.17)=TRUE, "Morning", IF(AND(AllDataApr[[#This Row],[Time]]&lt;0.75, AllDataApr[[#This Row],[Time]]&gt;=0.5)=TRUE, "Afternoon", IF(AND(AllDataApr[[#This Row],[Time]]&lt;1, AllDataApr[[#This Row],[Time]]&gt;=0.75)=TRUE, "Evening", "Night")))</f>
        <v>Afternoon</v>
      </c>
      <c r="G403" t="s">
        <v>150</v>
      </c>
      <c r="H403" t="str">
        <f>_xlfn.XLOOKUP(AllDataApr[[#This Row],[Location Name]], Locations[Row Labels],Locations[Group As])</f>
        <v>Stour Stretton-on-Fosse Sewage Works</v>
      </c>
      <c r="I403" t="str">
        <f>_xlfn.XLOOKUP(AllDataApr[[#This Row],[Site Name]],LocationsKey[Site Name],LocationsKey[Region])</f>
        <v>Shipston</v>
      </c>
      <c r="J403" t="str">
        <f>_xlfn.XLOOKUP(AllDataApr[[#This Row],[Site Name]],LocationsKey[Site Name], LocationsKey[Waterway])</f>
        <v>Stour</v>
      </c>
      <c r="K403" t="s">
        <v>151</v>
      </c>
      <c r="L403">
        <v>52.045701000000001</v>
      </c>
      <c r="M403">
        <v>-1.6718900000000001</v>
      </c>
      <c r="N403" t="s">
        <v>18</v>
      </c>
      <c r="O403">
        <v>414</v>
      </c>
      <c r="P403">
        <v>11.2</v>
      </c>
      <c r="Q403">
        <v>3</v>
      </c>
      <c r="R403" s="7" t="str">
        <f>IF(AllDataApr[[#This Row],[Nitrate (PPM)]]&gt;2, "Very high", IF(AllDataApr[[#This Row],[Nitrate (PPM)]]&gt;1, "High", IF(AllDataApr[[#This Row],[Nitrate (PPM)]]&gt;0.5, "Some evidence", IF(AllDataApr[[#This Row],[Nitrate (PPM)]]&gt;0, "No evidence", IF(AllDataApr[[#This Row],[Nitrate (PPM)]]=0, "")))))</f>
        <v>Very high</v>
      </c>
      <c r="S403">
        <v>0.13</v>
      </c>
      <c r="T403" s="7" t="str">
        <f>IF(AllDataApr[[#This Row],[Phosphate (PPM)]]&gt;0.5, "Very high", IF(AllDataApr[[#This Row],[Phosphate (PPM)]]&gt;0.1, "High", IF(AllDataApr[[#This Row],[Phosphate (PPM)]]&gt;0.05, "Some evidence", IF(AllDataApr[[#This Row],[Phosphate (PPM)]]=0, ""))))</f>
        <v>High</v>
      </c>
      <c r="U403">
        <v>0.6</v>
      </c>
    </row>
    <row r="404" spans="1:22" x14ac:dyDescent="0.3">
      <c r="A404" t="s">
        <v>523</v>
      </c>
      <c r="B404" s="2">
        <v>45336</v>
      </c>
      <c r="C404" s="2" t="str" cm="1">
        <f t="array" ref="C40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04">
        <f>YEAR(AllDataApr[[#This Row],[Date]])</f>
        <v>2024</v>
      </c>
      <c r="E404" s="1">
        <v>0.64722222222222225</v>
      </c>
      <c r="F404" s="2" t="str">
        <f>IF(AND(AllDataApr[[#This Row],[Time]]&lt;0.5, AllDataApr[[#This Row],[Time]]&gt;0.17)=TRUE, "Morning", IF(AND(AllDataApr[[#This Row],[Time]]&lt;0.75, AllDataApr[[#This Row],[Time]]&gt;=0.5)=TRUE, "Afternoon", IF(AND(AllDataApr[[#This Row],[Time]]&lt;1, AllDataApr[[#This Row],[Time]]&gt;=0.75)=TRUE, "Evening", "Night")))</f>
        <v>Afternoon</v>
      </c>
      <c r="G404" t="s">
        <v>129</v>
      </c>
      <c r="H404" t="str">
        <f>_xlfn.XLOOKUP(AllDataApr[[#This Row],[Location Name]], Locations[Row Labels],Locations[Group As])</f>
        <v>Alveston Weir</v>
      </c>
      <c r="I404" t="str">
        <f>_xlfn.XLOOKUP(AllDataApr[[#This Row],[Site Name]],LocationsKey[Site Name],LocationsKey[Region])</f>
        <v>Stratford</v>
      </c>
      <c r="J404" t="str">
        <f>_xlfn.XLOOKUP(AllDataApr[[#This Row],[Site Name]],LocationsKey[Site Name], LocationsKey[Waterway])</f>
        <v>Avon</v>
      </c>
      <c r="K404" t="s">
        <v>128</v>
      </c>
      <c r="L404">
        <v>52.212288999999998</v>
      </c>
      <c r="M404">
        <v>-1.660452</v>
      </c>
      <c r="N404" t="s">
        <v>18</v>
      </c>
      <c r="O404">
        <v>469</v>
      </c>
      <c r="P404">
        <v>10.7</v>
      </c>
      <c r="Q404">
        <v>5</v>
      </c>
      <c r="R404" s="7" t="str">
        <f>IF(AllDataApr[[#This Row],[Nitrate (PPM)]]&gt;2, "Very high", IF(AllDataApr[[#This Row],[Nitrate (PPM)]]&gt;1, "High", IF(AllDataApr[[#This Row],[Nitrate (PPM)]]&gt;0.5, "Some evidence", IF(AllDataApr[[#This Row],[Nitrate (PPM)]]&gt;0, "No evidence", IF(AllDataApr[[#This Row],[Nitrate (PPM)]]=0, "")))))</f>
        <v>Very high</v>
      </c>
      <c r="S404">
        <v>0.59</v>
      </c>
      <c r="T404" s="7" t="str">
        <f>IF(AllDataApr[[#This Row],[Phosphate (PPM)]]&gt;0.5, "Very high", IF(AllDataApr[[#This Row],[Phosphate (PPM)]]&gt;0.1, "High", IF(AllDataApr[[#This Row],[Phosphate (PPM)]]&gt;0.05, "Some evidence", IF(AllDataApr[[#This Row],[Phosphate (PPM)]]=0, ""))))</f>
        <v>Very high</v>
      </c>
      <c r="U404">
        <v>1.5</v>
      </c>
      <c r="V404" t="s">
        <v>266</v>
      </c>
    </row>
    <row r="405" spans="1:22" x14ac:dyDescent="0.3">
      <c r="A405" t="s">
        <v>480</v>
      </c>
      <c r="B405" s="2">
        <v>45336</v>
      </c>
      <c r="C405" s="2" t="str" cm="1">
        <f t="array" ref="C40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05">
        <f>YEAR(AllDataApr[[#This Row],[Date]])</f>
        <v>2024</v>
      </c>
      <c r="E405" s="1">
        <v>0.70833333333333337</v>
      </c>
      <c r="F405" s="2" t="str">
        <f>IF(AND(AllDataApr[[#This Row],[Time]]&lt;0.5, AllDataApr[[#This Row],[Time]]&gt;0.17)=TRUE, "Morning", IF(AND(AllDataApr[[#This Row],[Time]]&lt;0.75, AllDataApr[[#This Row],[Time]]&gt;=0.5)=TRUE, "Afternoon", IF(AND(AllDataApr[[#This Row],[Time]]&lt;1, AllDataApr[[#This Row],[Time]]&gt;=0.75)=TRUE, "Evening", "Night")))</f>
        <v>Afternoon</v>
      </c>
      <c r="G405" t="s">
        <v>57</v>
      </c>
      <c r="H405" t="str">
        <f>_xlfn.XLOOKUP(AllDataApr[[#This Row],[Location Name]], Locations[Row Labels],Locations[Group As])</f>
        <v>Stour Newbold Mill</v>
      </c>
      <c r="I405" t="str">
        <f>_xlfn.XLOOKUP(AllDataApr[[#This Row],[Site Name]],LocationsKey[Site Name],LocationsKey[Region])</f>
        <v>Shipston</v>
      </c>
      <c r="J405" t="str">
        <f>_xlfn.XLOOKUP(AllDataApr[[#This Row],[Site Name]],LocationsKey[Site Name], LocationsKey[Waterway])</f>
        <v>Stour</v>
      </c>
      <c r="K405" t="s">
        <v>66</v>
      </c>
      <c r="L405">
        <v>52.112822999999999</v>
      </c>
      <c r="M405">
        <v>-1.633321</v>
      </c>
      <c r="N405" t="s">
        <v>42</v>
      </c>
      <c r="O405">
        <v>513</v>
      </c>
      <c r="P405">
        <v>11.2</v>
      </c>
      <c r="Q405">
        <v>2</v>
      </c>
      <c r="R405" s="7" t="str">
        <f>IF(AllDataApr[[#This Row],[Nitrate (PPM)]]&gt;2, "Very high", IF(AllDataApr[[#This Row],[Nitrate (PPM)]]&gt;1, "High", IF(AllDataApr[[#This Row],[Nitrate (PPM)]]&gt;0.5, "Some evidence", IF(AllDataApr[[#This Row],[Nitrate (PPM)]]&gt;0, "No evidence", IF(AllDataApr[[#This Row],[Nitrate (PPM)]]=0, "")))))</f>
        <v>High</v>
      </c>
      <c r="S405">
        <v>0.1</v>
      </c>
      <c r="T405" s="7" t="str">
        <f>IF(AllDataApr[[#This Row],[Phosphate (PPM)]]&gt;0.5, "Very high", IF(AllDataApr[[#This Row],[Phosphate (PPM)]]&gt;0.1, "High", IF(AllDataApr[[#This Row],[Phosphate (PPM)]]&gt;0.05, "Some evidence", IF(AllDataApr[[#This Row],[Phosphate (PPM)]]=0, ""))))</f>
        <v>Some evidence</v>
      </c>
      <c r="U405">
        <v>3.5</v>
      </c>
      <c r="V405" t="s">
        <v>295</v>
      </c>
    </row>
    <row r="406" spans="1:22" x14ac:dyDescent="0.3">
      <c r="A406" t="s">
        <v>521</v>
      </c>
      <c r="B406" s="2">
        <v>45337</v>
      </c>
      <c r="C406" s="2" t="str" cm="1">
        <f t="array" ref="C40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06">
        <f>YEAR(AllDataApr[[#This Row],[Date]])</f>
        <v>2024</v>
      </c>
      <c r="E406" s="1">
        <v>0.49861111111111112</v>
      </c>
      <c r="F406" s="2" t="str">
        <f>IF(AND(AllDataApr[[#This Row],[Time]]&lt;0.5, AllDataApr[[#This Row],[Time]]&gt;0.17)=TRUE, "Morning", IF(AND(AllDataApr[[#This Row],[Time]]&lt;0.75, AllDataApr[[#This Row],[Time]]&gt;=0.5)=TRUE, "Afternoon", IF(AND(AllDataApr[[#This Row],[Time]]&lt;1, AllDataApr[[#This Row],[Time]]&gt;=0.75)=TRUE, "Evening", "Night")))</f>
        <v>Morning</v>
      </c>
      <c r="G406" t="s">
        <v>220</v>
      </c>
      <c r="H406" t="str">
        <f>_xlfn.XLOOKUP(AllDataApr[[#This Row],[Location Name]], Locations[Row Labels],Locations[Group As])</f>
        <v>Stour Willington</v>
      </c>
      <c r="I406" t="str">
        <f>_xlfn.XLOOKUP(AllDataApr[[#This Row],[Site Name]],LocationsKey[Site Name],LocationsKey[Region])</f>
        <v>Shipston</v>
      </c>
      <c r="J406" t="str">
        <f>_xlfn.XLOOKUP(AllDataApr[[#This Row],[Site Name]],LocationsKey[Site Name], LocationsKey[Waterway])</f>
        <v>Stour</v>
      </c>
      <c r="K406" t="s">
        <v>197</v>
      </c>
      <c r="L406">
        <v>52.053606000000002</v>
      </c>
      <c r="M406">
        <v>-1.6202080000000001</v>
      </c>
      <c r="O406">
        <v>523</v>
      </c>
      <c r="P406">
        <v>12.4</v>
      </c>
      <c r="Q406">
        <v>0.5</v>
      </c>
      <c r="R406" s="7" t="str">
        <f>IF(AllDataApr[[#This Row],[Nitrate (PPM)]]&gt;2, "Very high", IF(AllDataApr[[#This Row],[Nitrate (PPM)]]&gt;1, "High", IF(AllDataApr[[#This Row],[Nitrate (PPM)]]&gt;0.5, "Some evidence", IF(AllDataApr[[#This Row],[Nitrate (PPM)]]&gt;0, "No evidence", IF(AllDataApr[[#This Row],[Nitrate (PPM)]]=0, "")))))</f>
        <v>No evidence</v>
      </c>
      <c r="S406">
        <v>0.23</v>
      </c>
      <c r="T406" s="7" t="str">
        <f>IF(AllDataApr[[#This Row],[Phosphate (PPM)]]&gt;0.5, "Very high", IF(AllDataApr[[#This Row],[Phosphate (PPM)]]&gt;0.1, "High", IF(AllDataApr[[#This Row],[Phosphate (PPM)]]&gt;0.05, "Some evidence", IF(AllDataApr[[#This Row],[Phosphate (PPM)]]=0, ""))))</f>
        <v>High</v>
      </c>
      <c r="U406">
        <v>0.75</v>
      </c>
      <c r="V406" t="s">
        <v>268</v>
      </c>
    </row>
    <row r="407" spans="1:22" x14ac:dyDescent="0.3">
      <c r="A407" t="s">
        <v>522</v>
      </c>
      <c r="B407" s="2">
        <v>45337</v>
      </c>
      <c r="C407" s="2" t="str" cm="1">
        <f t="array" ref="C40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07">
        <f>YEAR(AllDataApr[[#This Row],[Date]])</f>
        <v>2024</v>
      </c>
      <c r="E407" s="1">
        <v>0.52986111111111112</v>
      </c>
      <c r="F407" s="2" t="str">
        <f>IF(AND(AllDataApr[[#This Row],[Time]]&lt;0.5, AllDataApr[[#This Row],[Time]]&gt;0.17)=TRUE, "Morning", IF(AND(AllDataApr[[#This Row],[Time]]&lt;0.75, AllDataApr[[#This Row],[Time]]&gt;=0.5)=TRUE, "Afternoon", IF(AND(AllDataApr[[#This Row],[Time]]&lt;1, AllDataApr[[#This Row],[Time]]&gt;=0.75)=TRUE, "Evening", "Night")))</f>
        <v>Afternoon</v>
      </c>
      <c r="G407" t="s">
        <v>59</v>
      </c>
      <c r="H407" t="str">
        <f>_xlfn.XLOOKUP(AllDataApr[[#This Row],[Location Name]], Locations[Row Labels],Locations[Group As])</f>
        <v>Preston-on-Stour River Bridge</v>
      </c>
      <c r="I407" t="str">
        <f>_xlfn.XLOOKUP(AllDataApr[[#This Row],[Site Name]],LocationsKey[Site Name],LocationsKey[Region])</f>
        <v>Stratford</v>
      </c>
      <c r="J407" t="str">
        <f>_xlfn.XLOOKUP(AllDataApr[[#This Row],[Site Name]],LocationsKey[Site Name], LocationsKey[Waterway])</f>
        <v>Stour</v>
      </c>
      <c r="K407" t="s">
        <v>78</v>
      </c>
      <c r="L407">
        <v>52.146580999999998</v>
      </c>
      <c r="M407">
        <v>-1.6992020000000001</v>
      </c>
      <c r="N407" t="s">
        <v>18</v>
      </c>
      <c r="O407">
        <v>548</v>
      </c>
      <c r="P407">
        <v>11.3</v>
      </c>
      <c r="Q407">
        <v>7</v>
      </c>
      <c r="R407" s="7" t="str">
        <f>IF(AllDataApr[[#This Row],[Nitrate (PPM)]]&gt;2, "Very high", IF(AllDataApr[[#This Row],[Nitrate (PPM)]]&gt;1, "High", IF(AllDataApr[[#This Row],[Nitrate (PPM)]]&gt;0.5, "Some evidence", IF(AllDataApr[[#This Row],[Nitrate (PPM)]]&gt;0, "No evidence", IF(AllDataApr[[#This Row],[Nitrate (PPM)]]=0, "")))))</f>
        <v>Very high</v>
      </c>
      <c r="S407">
        <v>0.25</v>
      </c>
      <c r="T407" s="7" t="str">
        <f>IF(AllDataApr[[#This Row],[Phosphate (PPM)]]&gt;0.5, "Very high", IF(AllDataApr[[#This Row],[Phosphate (PPM)]]&gt;0.1, "High", IF(AllDataApr[[#This Row],[Phosphate (PPM)]]&gt;0.05, "Some evidence", IF(AllDataApr[[#This Row],[Phosphate (PPM)]]=0, ""))))</f>
        <v>High</v>
      </c>
      <c r="U407">
        <v>2</v>
      </c>
      <c r="V407" t="s">
        <v>269</v>
      </c>
    </row>
    <row r="408" spans="1:22" x14ac:dyDescent="0.3">
      <c r="A408" t="s">
        <v>520</v>
      </c>
      <c r="B408" s="2">
        <v>45338</v>
      </c>
      <c r="C408" s="2" t="str" cm="1">
        <f t="array" ref="C40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08">
        <f>YEAR(AllDataApr[[#This Row],[Date]])</f>
        <v>2024</v>
      </c>
      <c r="E408" s="1">
        <v>0.59722222222222221</v>
      </c>
      <c r="F408" s="2" t="str">
        <f>IF(AND(AllDataApr[[#This Row],[Time]]&lt;0.5, AllDataApr[[#This Row],[Time]]&gt;0.17)=TRUE, "Morning", IF(AND(AllDataApr[[#This Row],[Time]]&lt;0.75, AllDataApr[[#This Row],[Time]]&gt;=0.5)=TRUE, "Afternoon", IF(AND(AllDataApr[[#This Row],[Time]]&lt;1, AllDataApr[[#This Row],[Time]]&gt;=0.75)=TRUE, "Evening", "Night")))</f>
        <v>Afternoon</v>
      </c>
      <c r="G408" t="s">
        <v>906</v>
      </c>
      <c r="H408" t="str">
        <f>_xlfn.XLOOKUP(AllDataApr[[#This Row],[Location Name]], Locations[Row Labels],Locations[Group As])</f>
        <v>Preston Bagot Canal</v>
      </c>
      <c r="I408" t="str">
        <f>_xlfn.XLOOKUP(AllDataApr[[#This Row],[Site Name]],LocationsKey[Site Name],LocationsKey[Region])</f>
        <v>Henley-in-Arden</v>
      </c>
      <c r="J408" t="str">
        <f>_xlfn.XLOOKUP(AllDataApr[[#This Row],[Site Name]],LocationsKey[Site Name], LocationsKey[Waterway])</f>
        <v>Preston Bagot Canal</v>
      </c>
      <c r="K408" t="s">
        <v>922</v>
      </c>
      <c r="N408" t="s">
        <v>200</v>
      </c>
      <c r="O408">
        <v>308</v>
      </c>
      <c r="P408">
        <v>11.6</v>
      </c>
      <c r="Q408">
        <v>2</v>
      </c>
      <c r="R408" s="7" t="str">
        <f>IF(AllDataApr[[#This Row],[Nitrate (PPM)]]&gt;2, "Very high", IF(AllDataApr[[#This Row],[Nitrate (PPM)]]&gt;1, "High", IF(AllDataApr[[#This Row],[Nitrate (PPM)]]&gt;0.5, "Some evidence", IF(AllDataApr[[#This Row],[Nitrate (PPM)]]&gt;0, "No evidence", IF(AllDataApr[[#This Row],[Nitrate (PPM)]]=0, "")))))</f>
        <v>High</v>
      </c>
      <c r="S408">
        <v>0.22</v>
      </c>
      <c r="T408" s="7" t="str">
        <f>IF(AllDataApr[[#This Row],[Phosphate (PPM)]]&gt;0.5, "Very high", IF(AllDataApr[[#This Row],[Phosphate (PPM)]]&gt;0.1, "High", IF(AllDataApr[[#This Row],[Phosphate (PPM)]]&gt;0.05, "Some evidence", IF(AllDataApr[[#This Row],[Phosphate (PPM)]]=0, ""))))</f>
        <v>High</v>
      </c>
      <c r="U408">
        <v>0</v>
      </c>
    </row>
    <row r="409" spans="1:22" x14ac:dyDescent="0.3">
      <c r="A409" t="s">
        <v>519</v>
      </c>
      <c r="B409" s="2">
        <v>45338</v>
      </c>
      <c r="C409" s="2" t="str" cm="1">
        <f t="array" ref="C40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09">
        <f>YEAR(AllDataApr[[#This Row],[Date]])</f>
        <v>2024</v>
      </c>
      <c r="E409" s="1">
        <v>0.61111111111111116</v>
      </c>
      <c r="F409" s="2" t="str">
        <f>IF(AND(AllDataApr[[#This Row],[Time]]&lt;0.5, AllDataApr[[#This Row],[Time]]&gt;0.17)=TRUE, "Morning", IF(AND(AllDataApr[[#This Row],[Time]]&lt;0.75, AllDataApr[[#This Row],[Time]]&gt;=0.5)=TRUE, "Afternoon", IF(AND(AllDataApr[[#This Row],[Time]]&lt;1, AllDataApr[[#This Row],[Time]]&gt;=0.75)=TRUE, "Evening", "Night")))</f>
        <v>Afternoon</v>
      </c>
      <c r="G409" t="s">
        <v>906</v>
      </c>
      <c r="H409" t="str">
        <f>_xlfn.XLOOKUP(AllDataApr[[#This Row],[Location Name]], Locations[Row Labels],Locations[Group As])</f>
        <v>Preston Bagot Brook</v>
      </c>
      <c r="I409" t="str">
        <f>_xlfn.XLOOKUP(AllDataApr[[#This Row],[Site Name]],LocationsKey[Site Name],LocationsKey[Region])</f>
        <v>Henley-in-Arden</v>
      </c>
      <c r="J409" t="str">
        <f>_xlfn.XLOOKUP(AllDataApr[[#This Row],[Site Name]],LocationsKey[Site Name], LocationsKey[Waterway])</f>
        <v>Preston Bagot Brook</v>
      </c>
      <c r="K409" t="s">
        <v>921</v>
      </c>
      <c r="N409" t="s">
        <v>200</v>
      </c>
      <c r="O409">
        <v>353</v>
      </c>
      <c r="P409">
        <v>12.4</v>
      </c>
      <c r="Q409">
        <v>2</v>
      </c>
      <c r="R409" s="7" t="str">
        <f>IF(AllDataApr[[#This Row],[Nitrate (PPM)]]&gt;2, "Very high", IF(AllDataApr[[#This Row],[Nitrate (PPM)]]&gt;1, "High", IF(AllDataApr[[#This Row],[Nitrate (PPM)]]&gt;0.5, "Some evidence", IF(AllDataApr[[#This Row],[Nitrate (PPM)]]&gt;0, "No evidence", IF(AllDataApr[[#This Row],[Nitrate (PPM)]]=0, "")))))</f>
        <v>High</v>
      </c>
      <c r="S409">
        <v>0.56000000000000005</v>
      </c>
      <c r="T409" s="7" t="str">
        <f>IF(AllDataApr[[#This Row],[Phosphate (PPM)]]&gt;0.5, "Very high", IF(AllDataApr[[#This Row],[Phosphate (PPM)]]&gt;0.1, "High", IF(AllDataApr[[#This Row],[Phosphate (PPM)]]&gt;0.05, "Some evidence", IF(AllDataApr[[#This Row],[Phosphate (PPM)]]=0, ""))))</f>
        <v>Very high</v>
      </c>
      <c r="U409">
        <v>0</v>
      </c>
    </row>
    <row r="410" spans="1:22" x14ac:dyDescent="0.3">
      <c r="A410" t="s">
        <v>493</v>
      </c>
      <c r="B410" s="2">
        <v>45338</v>
      </c>
      <c r="C410" s="2" t="str" cm="1">
        <f t="array" ref="C41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10">
        <f>YEAR(AllDataApr[[#This Row],[Date]])</f>
        <v>2024</v>
      </c>
      <c r="E410" s="1">
        <v>0.625</v>
      </c>
      <c r="F410" s="2" t="str">
        <f>IF(AND(AllDataApr[[#This Row],[Time]]&lt;0.5, AllDataApr[[#This Row],[Time]]&gt;0.17)=TRUE, "Morning", IF(AND(AllDataApr[[#This Row],[Time]]&lt;0.75, AllDataApr[[#This Row],[Time]]&gt;=0.5)=TRUE, "Afternoon", IF(AND(AllDataApr[[#This Row],[Time]]&lt;1, AllDataApr[[#This Row],[Time]]&gt;=0.75)=TRUE, "Evening", "Night")))</f>
        <v>Afternoon</v>
      </c>
      <c r="G410" t="s">
        <v>276</v>
      </c>
      <c r="H410" t="str">
        <f>_xlfn.XLOOKUP(AllDataApr[[#This Row],[Location Name]], Locations[Row Labels],Locations[Group As])</f>
        <v>Sherbourne Brook 1</v>
      </c>
      <c r="I410" t="str">
        <f>_xlfn.XLOOKUP(AllDataApr[[#This Row],[Site Name]],LocationsKey[Site Name],LocationsKey[Region])</f>
        <v>Stratford</v>
      </c>
      <c r="J410" t="str">
        <f>_xlfn.XLOOKUP(AllDataApr[[#This Row],[Site Name]],LocationsKey[Site Name], LocationsKey[Waterway])</f>
        <v>Sherbourne Brook</v>
      </c>
      <c r="K410" t="s">
        <v>280</v>
      </c>
      <c r="N410" t="s">
        <v>200</v>
      </c>
      <c r="O410">
        <v>776</v>
      </c>
      <c r="P410">
        <v>11.4</v>
      </c>
      <c r="Q410">
        <v>5</v>
      </c>
      <c r="R410" s="7" t="str">
        <f>IF(AllDataApr[[#This Row],[Nitrate (PPM)]]&gt;2, "Very high", IF(AllDataApr[[#This Row],[Nitrate (PPM)]]&gt;1, "High", IF(AllDataApr[[#This Row],[Nitrate (PPM)]]&gt;0.5, "Some evidence", IF(AllDataApr[[#This Row],[Nitrate (PPM)]]&gt;0, "No evidence", IF(AllDataApr[[#This Row],[Nitrate (PPM)]]=0, "")))))</f>
        <v>Very high</v>
      </c>
      <c r="S410">
        <v>0.73</v>
      </c>
      <c r="T410" s="7" t="str">
        <f>IF(AllDataApr[[#This Row],[Phosphate (PPM)]]&gt;0.5, "Very high", IF(AllDataApr[[#This Row],[Phosphate (PPM)]]&gt;0.1, "High", IF(AllDataApr[[#This Row],[Phosphate (PPM)]]&gt;0.05, "Some evidence", IF(AllDataApr[[#This Row],[Phosphate (PPM)]]=0, ""))))</f>
        <v>Very high</v>
      </c>
      <c r="U410">
        <v>0.5</v>
      </c>
    </row>
    <row r="411" spans="1:22" x14ac:dyDescent="0.3">
      <c r="A411" t="s">
        <v>492</v>
      </c>
      <c r="B411" s="2">
        <v>45338</v>
      </c>
      <c r="C411" s="2" t="str" cm="1">
        <f t="array" ref="C41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11">
        <f>YEAR(AllDataApr[[#This Row],[Date]])</f>
        <v>2024</v>
      </c>
      <c r="E411" s="1">
        <v>0.63541666666666663</v>
      </c>
      <c r="F411" s="2" t="str">
        <f>IF(AND(AllDataApr[[#This Row],[Time]]&lt;0.5, AllDataApr[[#This Row],[Time]]&gt;0.17)=TRUE, "Morning", IF(AND(AllDataApr[[#This Row],[Time]]&lt;0.75, AllDataApr[[#This Row],[Time]]&gt;=0.5)=TRUE, "Afternoon", IF(AND(AllDataApr[[#This Row],[Time]]&lt;1, AllDataApr[[#This Row],[Time]]&gt;=0.75)=TRUE, "Evening", "Night")))</f>
        <v>Afternoon</v>
      </c>
      <c r="G411" t="s">
        <v>276</v>
      </c>
      <c r="H411" t="str">
        <f>_xlfn.XLOOKUP(AllDataApr[[#This Row],[Location Name]], Locations[Row Labels],Locations[Group As])</f>
        <v>Bell Brook 1</v>
      </c>
      <c r="I411" t="str">
        <f>_xlfn.XLOOKUP(AllDataApr[[#This Row],[Site Name]],LocationsKey[Site Name],LocationsKey[Region])</f>
        <v>Stratford</v>
      </c>
      <c r="J411" t="str">
        <f>_xlfn.XLOOKUP(AllDataApr[[#This Row],[Site Name]],LocationsKey[Site Name], LocationsKey[Waterway])</f>
        <v>Bell Brook</v>
      </c>
      <c r="K411" t="s">
        <v>279</v>
      </c>
      <c r="N411" t="s">
        <v>200</v>
      </c>
      <c r="O411">
        <v>542</v>
      </c>
      <c r="P411">
        <v>10.6</v>
      </c>
      <c r="Q411">
        <v>4</v>
      </c>
      <c r="R411" s="7" t="str">
        <f>IF(AllDataApr[[#This Row],[Nitrate (PPM)]]&gt;2, "Very high", IF(AllDataApr[[#This Row],[Nitrate (PPM)]]&gt;1, "High", IF(AllDataApr[[#This Row],[Nitrate (PPM)]]&gt;0.5, "Some evidence", IF(AllDataApr[[#This Row],[Nitrate (PPM)]]&gt;0, "No evidence", IF(AllDataApr[[#This Row],[Nitrate (PPM)]]=0, "")))))</f>
        <v>Very high</v>
      </c>
      <c r="S411">
        <v>0.16</v>
      </c>
      <c r="T411" s="7" t="str">
        <f>IF(AllDataApr[[#This Row],[Phosphate (PPM)]]&gt;0.5, "Very high", IF(AllDataApr[[#This Row],[Phosphate (PPM)]]&gt;0.1, "High", IF(AllDataApr[[#This Row],[Phosphate (PPM)]]&gt;0.05, "Some evidence", IF(AllDataApr[[#This Row],[Phosphate (PPM)]]=0, ""))))</f>
        <v>High</v>
      </c>
      <c r="U411">
        <v>0.5</v>
      </c>
    </row>
    <row r="412" spans="1:22" x14ac:dyDescent="0.3">
      <c r="A412" t="s">
        <v>518</v>
      </c>
      <c r="B412" s="2">
        <v>45338</v>
      </c>
      <c r="C412" s="2" t="str" cm="1">
        <f t="array" ref="C41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12">
        <f>YEAR(AllDataApr[[#This Row],[Date]])</f>
        <v>2024</v>
      </c>
      <c r="E412" s="1">
        <v>0.66666666666666663</v>
      </c>
      <c r="F412" s="2" t="str">
        <f>IF(AND(AllDataApr[[#This Row],[Time]]&lt;0.5, AllDataApr[[#This Row],[Time]]&gt;0.17)=TRUE, "Morning", IF(AND(AllDataApr[[#This Row],[Time]]&lt;0.75, AllDataApr[[#This Row],[Time]]&gt;=0.5)=TRUE, "Afternoon", IF(AND(AllDataApr[[#This Row],[Time]]&lt;1, AllDataApr[[#This Row],[Time]]&gt;=0.75)=TRUE, "Evening", "Night")))</f>
        <v>Afternoon</v>
      </c>
      <c r="G412" t="s">
        <v>46</v>
      </c>
      <c r="H412" t="str">
        <f>_xlfn.XLOOKUP(AllDataApr[[#This Row],[Location Name]], Locations[Row Labels],Locations[Group As])</f>
        <v>Swilgate</v>
      </c>
      <c r="I412" t="str">
        <f>_xlfn.XLOOKUP(AllDataApr[[#This Row],[Site Name]],LocationsKey[Site Name],LocationsKey[Region])</f>
        <v>Tewkesbury</v>
      </c>
      <c r="J412" t="str">
        <f>_xlfn.XLOOKUP(AllDataApr[[#This Row],[Site Name]],LocationsKey[Site Name], LocationsKey[Waterway])</f>
        <v>Swilgate</v>
      </c>
      <c r="K412" t="s">
        <v>47</v>
      </c>
      <c r="N412" t="s">
        <v>200</v>
      </c>
      <c r="O412">
        <v>757</v>
      </c>
      <c r="P412">
        <v>13.6</v>
      </c>
      <c r="Q412">
        <v>3</v>
      </c>
      <c r="R412" s="7" t="str">
        <f>IF(AllDataApr[[#This Row],[Nitrate (PPM)]]&gt;2, "Very high", IF(AllDataApr[[#This Row],[Nitrate (PPM)]]&gt;1, "High", IF(AllDataApr[[#This Row],[Nitrate (PPM)]]&gt;0.5, "Some evidence", IF(AllDataApr[[#This Row],[Nitrate (PPM)]]&gt;0, "No evidence", IF(AllDataApr[[#This Row],[Nitrate (PPM)]]=0, "")))))</f>
        <v>Very high</v>
      </c>
      <c r="S412">
        <v>0.39</v>
      </c>
      <c r="T412" s="7" t="str">
        <f>IF(AllDataApr[[#This Row],[Phosphate (PPM)]]&gt;0.5, "Very high", IF(AllDataApr[[#This Row],[Phosphate (PPM)]]&gt;0.1, "High", IF(AllDataApr[[#This Row],[Phosphate (PPM)]]&gt;0.05, "Some evidence", IF(AllDataApr[[#This Row],[Phosphate (PPM)]]=0, ""))))</f>
        <v>High</v>
      </c>
      <c r="U412">
        <v>2</v>
      </c>
      <c r="V412" t="s">
        <v>122</v>
      </c>
    </row>
    <row r="413" spans="1:22" x14ac:dyDescent="0.3">
      <c r="A413" s="11" t="s">
        <v>517</v>
      </c>
      <c r="B413" s="2">
        <v>45339</v>
      </c>
      <c r="C413" s="2" t="str" cm="1">
        <f t="array" ref="C41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13">
        <f>YEAR(AllDataApr[[#This Row],[Date]])</f>
        <v>2024</v>
      </c>
      <c r="E413" s="1">
        <v>0.47013888888888888</v>
      </c>
      <c r="F413" s="2" t="str">
        <f>IF(AND(AllDataApr[[#This Row],[Time]]&lt;0.5, AllDataApr[[#This Row],[Time]]&gt;0.17)=TRUE, "Morning", IF(AND(AllDataApr[[#This Row],[Time]]&lt;0.75, AllDataApr[[#This Row],[Time]]&gt;=0.5)=TRUE, "Afternoon", IF(AND(AllDataApr[[#This Row],[Time]]&lt;1, AllDataApr[[#This Row],[Time]]&gt;=0.75)=TRUE, "Evening", "Night")))</f>
        <v>Morning</v>
      </c>
      <c r="G413" t="s">
        <v>225</v>
      </c>
      <c r="H413" t="str">
        <f>_xlfn.XLOOKUP(AllDataApr[[#This Row],[Location Name]], Locations[Row Labels],Locations[Group As])</f>
        <v>Stour Cherington Sewage Works</v>
      </c>
      <c r="I413" t="str">
        <f>_xlfn.XLOOKUP(AllDataApr[[#This Row],[Site Name]],LocationsKey[Site Name],LocationsKey[Region])</f>
        <v>Shipston</v>
      </c>
      <c r="J413" t="str">
        <f>_xlfn.XLOOKUP(AllDataApr[[#This Row],[Site Name]],LocationsKey[Site Name], LocationsKey[Waterway])</f>
        <v>Stour</v>
      </c>
      <c r="K413" t="s">
        <v>236</v>
      </c>
      <c r="L413">
        <v>52.029713999999998</v>
      </c>
      <c r="M413">
        <v>-1.58226</v>
      </c>
      <c r="N413" t="s">
        <v>18</v>
      </c>
      <c r="O413">
        <v>574</v>
      </c>
      <c r="P413">
        <v>11.1</v>
      </c>
      <c r="Q413">
        <v>0.5</v>
      </c>
      <c r="R413" s="7" t="str">
        <f>IF(AllDataApr[[#This Row],[Nitrate (PPM)]]&gt;2, "Very high", IF(AllDataApr[[#This Row],[Nitrate (PPM)]]&gt;1, "High", IF(AllDataApr[[#This Row],[Nitrate (PPM)]]&gt;0.5, "Some evidence", IF(AllDataApr[[#This Row],[Nitrate (PPM)]]&gt;0, "No evidence", IF(AllDataApr[[#This Row],[Nitrate (PPM)]]=0, "")))))</f>
        <v>No evidence</v>
      </c>
      <c r="S413">
        <v>0.33</v>
      </c>
      <c r="T413" s="7" t="str">
        <f>IF(AllDataApr[[#This Row],[Phosphate (PPM)]]&gt;0.5, "Very high", IF(AllDataApr[[#This Row],[Phosphate (PPM)]]&gt;0.1, "High", IF(AllDataApr[[#This Row],[Phosphate (PPM)]]&gt;0.05, "Some evidence", IF(AllDataApr[[#This Row],[Phosphate (PPM)]]=0, ""))))</f>
        <v>High</v>
      </c>
      <c r="U413">
        <v>0.5</v>
      </c>
      <c r="V413" t="s">
        <v>270</v>
      </c>
    </row>
    <row r="414" spans="1:22" x14ac:dyDescent="0.3">
      <c r="A414" t="s">
        <v>516</v>
      </c>
      <c r="B414" s="2">
        <v>45339</v>
      </c>
      <c r="C414" s="2" t="str" cm="1">
        <f t="array" ref="C41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14">
        <f>YEAR(AllDataApr[[#This Row],[Date]])</f>
        <v>2024</v>
      </c>
      <c r="E414" s="1">
        <v>0.54166666666666663</v>
      </c>
      <c r="F414" s="2" t="str">
        <f>IF(AND(AllDataApr[[#This Row],[Time]]&lt;0.5, AllDataApr[[#This Row],[Time]]&gt;0.17)=TRUE, "Morning", IF(AND(AllDataApr[[#This Row],[Time]]&lt;0.75, AllDataApr[[#This Row],[Time]]&gt;=0.5)=TRUE, "Afternoon", IF(AND(AllDataApr[[#This Row],[Time]]&lt;1, AllDataApr[[#This Row],[Time]]&gt;=0.75)=TRUE, "Evening", "Night")))</f>
        <v>Afternoon</v>
      </c>
      <c r="G414" t="s">
        <v>112</v>
      </c>
      <c r="H414" t="str">
        <f>_xlfn.XLOOKUP(AllDataApr[[#This Row],[Location Name]], Locations[Row Labels],Locations[Group As])</f>
        <v>Clifford Chambers Mill Bridge</v>
      </c>
      <c r="I414" t="str">
        <f>_xlfn.XLOOKUP(AllDataApr[[#This Row],[Site Name]],LocationsKey[Site Name],LocationsKey[Region])</f>
        <v>Stratford</v>
      </c>
      <c r="J414" t="str">
        <f>_xlfn.XLOOKUP(AllDataApr[[#This Row],[Site Name]],LocationsKey[Site Name], LocationsKey[Waterway])</f>
        <v>Stour</v>
      </c>
      <c r="K414" t="s">
        <v>119</v>
      </c>
      <c r="L414">
        <v>52.166370000000001</v>
      </c>
      <c r="M414">
        <v>-1.708032</v>
      </c>
      <c r="N414" t="s">
        <v>1047</v>
      </c>
      <c r="O414">
        <v>551</v>
      </c>
      <c r="P414">
        <v>14.9</v>
      </c>
      <c r="Q414">
        <v>5</v>
      </c>
      <c r="R414" s="7" t="str">
        <f>IF(AllDataApr[[#This Row],[Nitrate (PPM)]]&gt;2, "Very high", IF(AllDataApr[[#This Row],[Nitrate (PPM)]]&gt;1, "High", IF(AllDataApr[[#This Row],[Nitrate (PPM)]]&gt;0.5, "Some evidence", IF(AllDataApr[[#This Row],[Nitrate (PPM)]]&gt;0, "No evidence", IF(AllDataApr[[#This Row],[Nitrate (PPM)]]=0, "")))))</f>
        <v>Very high</v>
      </c>
      <c r="S414">
        <v>0.33</v>
      </c>
      <c r="T414" s="7" t="str">
        <f>IF(AllDataApr[[#This Row],[Phosphate (PPM)]]&gt;0.5, "Very high", IF(AllDataApr[[#This Row],[Phosphate (PPM)]]&gt;0.1, "High", IF(AllDataApr[[#This Row],[Phosphate (PPM)]]&gt;0.05, "Some evidence", IF(AllDataApr[[#This Row],[Phosphate (PPM)]]=0, ""))))</f>
        <v>High</v>
      </c>
      <c r="U414">
        <v>1.3</v>
      </c>
    </row>
    <row r="415" spans="1:22" x14ac:dyDescent="0.3">
      <c r="A415" t="s">
        <v>515</v>
      </c>
      <c r="B415" s="2">
        <v>45339</v>
      </c>
      <c r="C415" s="2" t="str" cm="1">
        <f t="array" ref="C41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15">
        <f>YEAR(AllDataApr[[#This Row],[Date]])</f>
        <v>2024</v>
      </c>
      <c r="E415" s="1">
        <v>0.65555555555555556</v>
      </c>
      <c r="F415" s="2" t="str">
        <f>IF(AND(AllDataApr[[#This Row],[Time]]&lt;0.5, AllDataApr[[#This Row],[Time]]&gt;0.17)=TRUE, "Morning", IF(AND(AllDataApr[[#This Row],[Time]]&lt;0.75, AllDataApr[[#This Row],[Time]]&gt;=0.5)=TRUE, "Afternoon", IF(AND(AllDataApr[[#This Row],[Time]]&lt;1, AllDataApr[[#This Row],[Time]]&gt;=0.75)=TRUE, "Evening", "Night")))</f>
        <v>Afternoon</v>
      </c>
      <c r="G415" t="s">
        <v>11</v>
      </c>
      <c r="H415" t="str">
        <f>_xlfn.XLOOKUP(AllDataApr[[#This Row],[Location Name]], Locations[Row Labels],Locations[Group As])</f>
        <v>Black Bear</v>
      </c>
      <c r="I415" t="str">
        <f>_xlfn.XLOOKUP(AllDataApr[[#This Row],[Site Name]],LocationsKey[Site Name],LocationsKey[Region])</f>
        <v>Tewkesbury</v>
      </c>
      <c r="J415" t="str">
        <f>_xlfn.XLOOKUP(AllDataApr[[#This Row],[Site Name]],LocationsKey[Site Name], LocationsKey[Waterway])</f>
        <v>Avon</v>
      </c>
      <c r="K415" t="s">
        <v>231</v>
      </c>
      <c r="L415">
        <v>51.997287999999998</v>
      </c>
      <c r="M415">
        <v>-2.156129</v>
      </c>
      <c r="N415" t="s">
        <v>200</v>
      </c>
      <c r="O415">
        <v>504</v>
      </c>
      <c r="P415">
        <v>12.7</v>
      </c>
      <c r="Q415">
        <v>5</v>
      </c>
      <c r="R415" s="7" t="str">
        <f>IF(AllDataApr[[#This Row],[Nitrate (PPM)]]&gt;2, "Very high", IF(AllDataApr[[#This Row],[Nitrate (PPM)]]&gt;1, "High", IF(AllDataApr[[#This Row],[Nitrate (PPM)]]&gt;0.5, "Some evidence", IF(AllDataApr[[#This Row],[Nitrate (PPM)]]&gt;0, "No evidence", IF(AllDataApr[[#This Row],[Nitrate (PPM)]]=0, "")))))</f>
        <v>Very high</v>
      </c>
      <c r="S415">
        <v>0.89</v>
      </c>
      <c r="T415" s="7" t="str">
        <f>IF(AllDataApr[[#This Row],[Phosphate (PPM)]]&gt;0.5, "Very high", IF(AllDataApr[[#This Row],[Phosphate (PPM)]]&gt;0.1, "High", IF(AllDataApr[[#This Row],[Phosphate (PPM)]]&gt;0.05, "Some evidence", IF(AllDataApr[[#This Row],[Phosphate (PPM)]]=0, ""))))</f>
        <v>Very high</v>
      </c>
      <c r="U415">
        <v>2.5</v>
      </c>
      <c r="V415" t="s">
        <v>122</v>
      </c>
    </row>
    <row r="416" spans="1:22" x14ac:dyDescent="0.3">
      <c r="A416" t="s">
        <v>514</v>
      </c>
      <c r="B416" s="2">
        <v>45339</v>
      </c>
      <c r="C416" s="2" t="str" cm="1">
        <f t="array" ref="C41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16">
        <f>YEAR(AllDataApr[[#This Row],[Date]])</f>
        <v>2024</v>
      </c>
      <c r="E416" s="1">
        <v>0.70138888888888884</v>
      </c>
      <c r="F416" s="2" t="str">
        <f>IF(AND(AllDataApr[[#This Row],[Time]]&lt;0.5, AllDataApr[[#This Row],[Time]]&gt;0.17)=TRUE, "Morning", IF(AND(AllDataApr[[#This Row],[Time]]&lt;0.75, AllDataApr[[#This Row],[Time]]&gt;=0.5)=TRUE, "Afternoon", IF(AND(AllDataApr[[#This Row],[Time]]&lt;1, AllDataApr[[#This Row],[Time]]&gt;=0.75)=TRUE, "Evening", "Night")))</f>
        <v>Afternoon</v>
      </c>
      <c r="G416" t="s">
        <v>222</v>
      </c>
      <c r="H416" t="str">
        <f>_xlfn.XLOOKUP(AllDataApr[[#This Row],[Location Name]], Locations[Row Labels],Locations[Group As])</f>
        <v>Pershore Leisure Centre</v>
      </c>
      <c r="I416" t="str">
        <f>_xlfn.XLOOKUP(AllDataApr[[#This Row],[Site Name]],LocationsKey[Site Name],LocationsKey[Region])</f>
        <v>Pershore</v>
      </c>
      <c r="J416" t="str">
        <f>_xlfn.XLOOKUP(AllDataApr[[#This Row],[Site Name]],LocationsKey[Site Name], LocationsKey[Waterway])</f>
        <v>Avon</v>
      </c>
      <c r="K416" t="s">
        <v>232</v>
      </c>
      <c r="L416">
        <v>52.112295000000003</v>
      </c>
      <c r="M416">
        <v>-2.072295</v>
      </c>
      <c r="O416">
        <v>634</v>
      </c>
      <c r="P416">
        <v>12.5</v>
      </c>
      <c r="Q416">
        <v>5</v>
      </c>
      <c r="R416" s="7" t="str">
        <f>IF(AllDataApr[[#This Row],[Nitrate (PPM)]]&gt;2, "Very high", IF(AllDataApr[[#This Row],[Nitrate (PPM)]]&gt;1, "High", IF(AllDataApr[[#This Row],[Nitrate (PPM)]]&gt;0.5, "Some evidence", IF(AllDataApr[[#This Row],[Nitrate (PPM)]]&gt;0, "No evidence", IF(AllDataApr[[#This Row],[Nitrate (PPM)]]=0, "")))))</f>
        <v>Very high</v>
      </c>
      <c r="S416">
        <v>0.5</v>
      </c>
      <c r="T416" s="7" t="str">
        <f>IF(AllDataApr[[#This Row],[Phosphate (PPM)]]&gt;0.5, "Very high", IF(AllDataApr[[#This Row],[Phosphate (PPM)]]&gt;0.1, "High", IF(AllDataApr[[#This Row],[Phosphate (PPM)]]&gt;0.05, "Some evidence", IF(AllDataApr[[#This Row],[Phosphate (PPM)]]=0, ""))))</f>
        <v>High</v>
      </c>
      <c r="U416">
        <v>3.48</v>
      </c>
      <c r="V416" t="s">
        <v>1008</v>
      </c>
    </row>
    <row r="417" spans="1:22" x14ac:dyDescent="0.3">
      <c r="A417" t="s">
        <v>513</v>
      </c>
      <c r="B417" s="2">
        <v>45339</v>
      </c>
      <c r="C417" s="2" t="str" cm="1">
        <f t="array" ref="C41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17">
        <f>YEAR(AllDataApr[[#This Row],[Date]])</f>
        <v>2024</v>
      </c>
      <c r="E417" s="1">
        <v>0.71458333333333335</v>
      </c>
      <c r="F417" s="2" t="str">
        <f>IF(AND(AllDataApr[[#This Row],[Time]]&lt;0.5, AllDataApr[[#This Row],[Time]]&gt;0.17)=TRUE, "Morning", IF(AND(AllDataApr[[#This Row],[Time]]&lt;0.75, AllDataApr[[#This Row],[Time]]&gt;=0.5)=TRUE, "Afternoon", IF(AND(AllDataApr[[#This Row],[Time]]&lt;1, AllDataApr[[#This Row],[Time]]&gt;=0.75)=TRUE, "Evening", "Night")))</f>
        <v>Afternoon</v>
      </c>
      <c r="G417" t="s">
        <v>222</v>
      </c>
      <c r="H417" t="str">
        <f>_xlfn.XLOOKUP(AllDataApr[[#This Row],[Location Name]], Locations[Row Labels],Locations[Group As])</f>
        <v>Pershore Bridges</v>
      </c>
      <c r="I417" t="str">
        <f>_xlfn.XLOOKUP(AllDataApr[[#This Row],[Site Name]],LocationsKey[Site Name],LocationsKey[Region])</f>
        <v>Pershore</v>
      </c>
      <c r="J417" t="str">
        <f>_xlfn.XLOOKUP(AllDataApr[[#This Row],[Site Name]],LocationsKey[Site Name], LocationsKey[Waterway])</f>
        <v>Avon</v>
      </c>
      <c r="K417" t="s">
        <v>233</v>
      </c>
      <c r="L417">
        <v>52.104179999999999</v>
      </c>
      <c r="M417">
        <v>-2.0709089999999999</v>
      </c>
      <c r="O417">
        <v>533</v>
      </c>
      <c r="P417">
        <v>12.5</v>
      </c>
      <c r="Q417">
        <v>5</v>
      </c>
      <c r="R417" s="7" t="str">
        <f>IF(AllDataApr[[#This Row],[Nitrate (PPM)]]&gt;2, "Very high", IF(AllDataApr[[#This Row],[Nitrate (PPM)]]&gt;1, "High", IF(AllDataApr[[#This Row],[Nitrate (PPM)]]&gt;0.5, "Some evidence", IF(AllDataApr[[#This Row],[Nitrate (PPM)]]&gt;0, "No evidence", IF(AllDataApr[[#This Row],[Nitrate (PPM)]]=0, "")))))</f>
        <v>Very high</v>
      </c>
      <c r="S417">
        <v>0.48</v>
      </c>
      <c r="T417" s="7" t="str">
        <f>IF(AllDataApr[[#This Row],[Phosphate (PPM)]]&gt;0.5, "Very high", IF(AllDataApr[[#This Row],[Phosphate (PPM)]]&gt;0.1, "High", IF(AllDataApr[[#This Row],[Phosphate (PPM)]]&gt;0.05, "Some evidence", IF(AllDataApr[[#This Row],[Phosphate (PPM)]]=0, ""))))</f>
        <v>High</v>
      </c>
      <c r="U417">
        <v>3.48</v>
      </c>
      <c r="V417" t="s">
        <v>1007</v>
      </c>
    </row>
    <row r="418" spans="1:22" x14ac:dyDescent="0.3">
      <c r="A418" t="s">
        <v>511</v>
      </c>
      <c r="B418" s="2">
        <v>45340</v>
      </c>
      <c r="C418" s="2" t="str" cm="1">
        <f t="array" ref="C41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18">
        <f>YEAR(AllDataApr[[#This Row],[Date]])</f>
        <v>2024</v>
      </c>
      <c r="E418" s="1">
        <v>0.47916666666666669</v>
      </c>
      <c r="F418" s="2" t="str">
        <f>IF(AND(AllDataApr[[#This Row],[Time]]&lt;0.5, AllDataApr[[#This Row],[Time]]&gt;0.17)=TRUE, "Morning", IF(AND(AllDataApr[[#This Row],[Time]]&lt;0.75, AllDataApr[[#This Row],[Time]]&gt;=0.5)=TRUE, "Afternoon", IF(AND(AllDataApr[[#This Row],[Time]]&lt;1, AllDataApr[[#This Row],[Time]]&gt;=0.75)=TRUE, "Evening", "Night")))</f>
        <v>Morning</v>
      </c>
      <c r="G418" t="s">
        <v>52</v>
      </c>
      <c r="H418" t="str">
        <f>_xlfn.XLOOKUP(AllDataApr[[#This Row],[Location Name]], Locations[Row Labels],Locations[Group As])</f>
        <v>Carrant Bredon Rd</v>
      </c>
      <c r="I418" t="str">
        <f>_xlfn.XLOOKUP(AllDataApr[[#This Row],[Site Name]],LocationsKey[Site Name],LocationsKey[Region])</f>
        <v>Tewkesbury</v>
      </c>
      <c r="J418" t="str">
        <f>_xlfn.XLOOKUP(AllDataApr[[#This Row],[Site Name]],LocationsKey[Site Name], LocationsKey[Waterway])</f>
        <v>Carrant</v>
      </c>
      <c r="K418" t="s">
        <v>179</v>
      </c>
      <c r="L418">
        <v>51.996437999999998</v>
      </c>
      <c r="M418">
        <v>-2.1560069999999998</v>
      </c>
      <c r="N418" t="s">
        <v>200</v>
      </c>
      <c r="O418">
        <v>519</v>
      </c>
      <c r="P418">
        <v>13.4</v>
      </c>
      <c r="Q418">
        <v>4</v>
      </c>
      <c r="R418" s="7" t="str">
        <f>IF(AllDataApr[[#This Row],[Nitrate (PPM)]]&gt;2, "Very high", IF(AllDataApr[[#This Row],[Nitrate (PPM)]]&gt;1, "High", IF(AllDataApr[[#This Row],[Nitrate (PPM)]]&gt;0.5, "Some evidence", IF(AllDataApr[[#This Row],[Nitrate (PPM)]]&gt;0, "No evidence", IF(AllDataApr[[#This Row],[Nitrate (PPM)]]=0, "")))))</f>
        <v>Very high</v>
      </c>
      <c r="S418">
        <v>0.37</v>
      </c>
      <c r="T418" s="7" t="str">
        <f>IF(AllDataApr[[#This Row],[Phosphate (PPM)]]&gt;0.5, "Very high", IF(AllDataApr[[#This Row],[Phosphate (PPM)]]&gt;0.1, "High", IF(AllDataApr[[#This Row],[Phosphate (PPM)]]&gt;0.05, "Some evidence", IF(AllDataApr[[#This Row],[Phosphate (PPM)]]=0, ""))))</f>
        <v>High</v>
      </c>
      <c r="U418">
        <v>1.42</v>
      </c>
      <c r="V418" t="s">
        <v>293</v>
      </c>
    </row>
    <row r="419" spans="1:22" x14ac:dyDescent="0.3">
      <c r="A419" t="s">
        <v>512</v>
      </c>
      <c r="B419" s="2">
        <v>45340</v>
      </c>
      <c r="C419" s="2" t="str" cm="1">
        <f t="array" ref="C41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19">
        <f>YEAR(AllDataApr[[#This Row],[Date]])</f>
        <v>2024</v>
      </c>
      <c r="E419" s="1">
        <v>0.54861111111111116</v>
      </c>
      <c r="F419" s="2" t="str">
        <f>IF(AND(AllDataApr[[#This Row],[Time]]&lt;0.5, AllDataApr[[#This Row],[Time]]&gt;0.17)=TRUE, "Morning", IF(AND(AllDataApr[[#This Row],[Time]]&lt;0.75, AllDataApr[[#This Row],[Time]]&gt;=0.5)=TRUE, "Afternoon", IF(AND(AllDataApr[[#This Row],[Time]]&lt;1, AllDataApr[[#This Row],[Time]]&gt;=0.75)=TRUE, "Evening", "Night")))</f>
        <v>Afternoon</v>
      </c>
      <c r="G419" t="s">
        <v>224</v>
      </c>
      <c r="H419" t="str">
        <f>_xlfn.XLOOKUP(AllDataApr[[#This Row],[Location Name]], Locations[Row Labels],Locations[Group As])</f>
        <v>The Ford, Langley</v>
      </c>
      <c r="I419" t="str">
        <f>_xlfn.XLOOKUP(AllDataApr[[#This Row],[Site Name]],LocationsKey[Site Name],LocationsKey[Region])</f>
        <v>Henley-in-Arden</v>
      </c>
      <c r="J419" t="str">
        <f>_xlfn.XLOOKUP(AllDataApr[[#This Row],[Site Name]],LocationsKey[Site Name], LocationsKey[Waterway])</f>
        <v>Langley Ford</v>
      </c>
      <c r="K419" t="s">
        <v>230</v>
      </c>
      <c r="L419">
        <v>52.269078999999998</v>
      </c>
      <c r="M419">
        <v>-1.7232719999999999</v>
      </c>
      <c r="N419" t="s">
        <v>18</v>
      </c>
      <c r="O419">
        <v>199</v>
      </c>
      <c r="P419">
        <v>12.3</v>
      </c>
      <c r="Q419">
        <v>2</v>
      </c>
      <c r="R419" s="7" t="str">
        <f>IF(AllDataApr[[#This Row],[Nitrate (PPM)]]&gt;2, "Very high", IF(AllDataApr[[#This Row],[Nitrate (PPM)]]&gt;1, "High", IF(AllDataApr[[#This Row],[Nitrate (PPM)]]&gt;0.5, "Some evidence", IF(AllDataApr[[#This Row],[Nitrate (PPM)]]&gt;0, "No evidence", IF(AllDataApr[[#This Row],[Nitrate (PPM)]]=0, "")))))</f>
        <v>High</v>
      </c>
      <c r="S419">
        <v>1.06</v>
      </c>
      <c r="T419" s="7" t="str">
        <f>IF(AllDataApr[[#This Row],[Phosphate (PPM)]]&gt;0.5, "Very high", IF(AllDataApr[[#This Row],[Phosphate (PPM)]]&gt;0.1, "High", IF(AllDataApr[[#This Row],[Phosphate (PPM)]]&gt;0.05, "Some evidence", IF(AllDataApr[[#This Row],[Phosphate (PPM)]]=0, ""))))</f>
        <v>Very high</v>
      </c>
      <c r="U419">
        <v>0.91400000000000003</v>
      </c>
      <c r="V419" t="s">
        <v>284</v>
      </c>
    </row>
    <row r="420" spans="1:22" x14ac:dyDescent="0.3">
      <c r="A420" t="s">
        <v>506</v>
      </c>
      <c r="B420" s="2">
        <v>45340</v>
      </c>
      <c r="C420" s="2" t="str" cm="1">
        <f t="array" ref="C42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20">
        <f>YEAR(AllDataApr[[#This Row],[Date]])</f>
        <v>2024</v>
      </c>
      <c r="E420" s="1">
        <v>0.65972222222222221</v>
      </c>
      <c r="F420" s="2" t="str">
        <f>IF(AND(AllDataApr[[#This Row],[Time]]&lt;0.5, AllDataApr[[#This Row],[Time]]&gt;0.17)=TRUE, "Morning", IF(AND(AllDataApr[[#This Row],[Time]]&lt;0.75, AllDataApr[[#This Row],[Time]]&gt;=0.5)=TRUE, "Afternoon", IF(AND(AllDataApr[[#This Row],[Time]]&lt;1, AllDataApr[[#This Row],[Time]]&gt;=0.75)=TRUE, "Evening", "Night")))</f>
        <v>Afternoon</v>
      </c>
      <c r="G420" t="s">
        <v>218</v>
      </c>
      <c r="H420" t="str">
        <f>_xlfn.XLOOKUP(AllDataApr[[#This Row],[Location Name]], Locations[Row Labels],Locations[Group As])</f>
        <v>Fell Mill Footbridge</v>
      </c>
      <c r="I420" t="str">
        <f>_xlfn.XLOOKUP(AllDataApr[[#This Row],[Site Name]],LocationsKey[Site Name],LocationsKey[Region])</f>
        <v>Shipston</v>
      </c>
      <c r="J420" t="str">
        <f>_xlfn.XLOOKUP(AllDataApr[[#This Row],[Site Name]],LocationsKey[Site Name], LocationsKey[Waterway])</f>
        <v>Stour</v>
      </c>
      <c r="K420" t="s">
        <v>227</v>
      </c>
      <c r="L420">
        <v>52.070131000000003</v>
      </c>
      <c r="M420">
        <v>-1.6114869999999999</v>
      </c>
      <c r="N420" t="s">
        <v>18</v>
      </c>
      <c r="O420">
        <v>272</v>
      </c>
      <c r="P420">
        <v>12</v>
      </c>
      <c r="Q420">
        <v>2</v>
      </c>
      <c r="R420" s="7" t="str">
        <f>IF(AllDataApr[[#This Row],[Nitrate (PPM)]]&gt;2, "Very high", IF(AllDataApr[[#This Row],[Nitrate (PPM)]]&gt;1, "High", IF(AllDataApr[[#This Row],[Nitrate (PPM)]]&gt;0.5, "Some evidence", IF(AllDataApr[[#This Row],[Nitrate (PPM)]]&gt;0, "No evidence", IF(AllDataApr[[#This Row],[Nitrate (PPM)]]=0, "")))))</f>
        <v>High</v>
      </c>
      <c r="S420">
        <v>0.11</v>
      </c>
      <c r="T420" s="7" t="str">
        <f>IF(AllDataApr[[#This Row],[Phosphate (PPM)]]&gt;0.5, "Very high", IF(AllDataApr[[#This Row],[Phosphate (PPM)]]&gt;0.1, "High", IF(AllDataApr[[#This Row],[Phosphate (PPM)]]&gt;0.05, "Some evidence", IF(AllDataApr[[#This Row],[Phosphate (PPM)]]=0, ""))))</f>
        <v>High</v>
      </c>
      <c r="U420">
        <v>3</v>
      </c>
    </row>
    <row r="421" spans="1:22" x14ac:dyDescent="0.3">
      <c r="A421" t="s">
        <v>505</v>
      </c>
      <c r="B421" s="2">
        <v>45340</v>
      </c>
      <c r="C421" s="2" t="str" cm="1">
        <f t="array" ref="C42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21">
        <f>YEAR(AllDataApr[[#This Row],[Date]])</f>
        <v>2024</v>
      </c>
      <c r="E421" s="1">
        <v>0.73958333333333337</v>
      </c>
      <c r="F421" s="2" t="str">
        <f>IF(AND(AllDataApr[[#This Row],[Time]]&lt;0.5, AllDataApr[[#This Row],[Time]]&gt;0.17)=TRUE, "Morning", IF(AND(AllDataApr[[#This Row],[Time]]&lt;0.75, AllDataApr[[#This Row],[Time]]&gt;=0.5)=TRUE, "Afternoon", IF(AND(AllDataApr[[#This Row],[Time]]&lt;1, AllDataApr[[#This Row],[Time]]&gt;=0.75)=TRUE, "Evening", "Night")))</f>
        <v>Afternoon</v>
      </c>
      <c r="G421" t="s">
        <v>199</v>
      </c>
      <c r="H421" t="str">
        <f>_xlfn.XLOOKUP(AllDataApr[[#This Row],[Location Name]], Locations[Row Labels],Locations[Group As])</f>
        <v>Stour Shipston Mill Bridge</v>
      </c>
      <c r="I421" t="str">
        <f>_xlfn.XLOOKUP(AllDataApr[[#This Row],[Site Name]],LocationsKey[Site Name],LocationsKey[Region])</f>
        <v>Shipston</v>
      </c>
      <c r="J421" t="str">
        <f>_xlfn.XLOOKUP(AllDataApr[[#This Row],[Site Name]],LocationsKey[Site Name], LocationsKey[Waterway])</f>
        <v>Stour</v>
      </c>
      <c r="K421" t="s">
        <v>165</v>
      </c>
      <c r="L421">
        <v>52.061956000000002</v>
      </c>
      <c r="M421">
        <v>-1.621896</v>
      </c>
      <c r="N421" t="s">
        <v>200</v>
      </c>
      <c r="O421">
        <v>384</v>
      </c>
      <c r="P421">
        <v>9.1999999999999993</v>
      </c>
      <c r="Q421">
        <v>4</v>
      </c>
      <c r="R421" s="7" t="str">
        <f>IF(AllDataApr[[#This Row],[Nitrate (PPM)]]&gt;2, "Very high", IF(AllDataApr[[#This Row],[Nitrate (PPM)]]&gt;1, "High", IF(AllDataApr[[#This Row],[Nitrate (PPM)]]&gt;0.5, "Some evidence", IF(AllDataApr[[#This Row],[Nitrate (PPM)]]&gt;0, "No evidence", IF(AllDataApr[[#This Row],[Nitrate (PPM)]]=0, "")))))</f>
        <v>Very high</v>
      </c>
      <c r="S421">
        <v>0.18</v>
      </c>
      <c r="T421" s="7" t="str">
        <f>IF(AllDataApr[[#This Row],[Phosphate (PPM)]]&gt;0.5, "Very high", IF(AllDataApr[[#This Row],[Phosphate (PPM)]]&gt;0.1, "High", IF(AllDataApr[[#This Row],[Phosphate (PPM)]]&gt;0.05, "Some evidence", IF(AllDataApr[[#This Row],[Phosphate (PPM)]]=0, ""))))</f>
        <v>High</v>
      </c>
      <c r="U421">
        <v>2.5</v>
      </c>
    </row>
    <row r="422" spans="1:22" x14ac:dyDescent="0.3">
      <c r="A422" t="s">
        <v>510</v>
      </c>
      <c r="B422" s="2">
        <v>45341</v>
      </c>
      <c r="C422" s="2" t="str" cm="1">
        <f t="array" ref="C42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22">
        <f>YEAR(AllDataApr[[#This Row],[Date]])</f>
        <v>2024</v>
      </c>
      <c r="E422" s="1">
        <v>0.37430555555555556</v>
      </c>
      <c r="F422" s="2" t="str">
        <f>IF(AND(AllDataApr[[#This Row],[Time]]&lt;0.5, AllDataApr[[#This Row],[Time]]&gt;0.17)=TRUE, "Morning", IF(AND(AllDataApr[[#This Row],[Time]]&lt;0.75, AllDataApr[[#This Row],[Time]]&gt;=0.5)=TRUE, "Afternoon", IF(AND(AllDataApr[[#This Row],[Time]]&lt;1, AllDataApr[[#This Row],[Time]]&gt;=0.75)=TRUE, "Evening", "Night")))</f>
        <v>Morning</v>
      </c>
      <c r="G422" t="s">
        <v>150</v>
      </c>
      <c r="H422" t="str">
        <f>_xlfn.XLOOKUP(AllDataApr[[#This Row],[Location Name]], Locations[Row Labels],Locations[Group As])</f>
        <v>Stour Stretton-on-Fosse Village</v>
      </c>
      <c r="I422" t="str">
        <f>_xlfn.XLOOKUP(AllDataApr[[#This Row],[Site Name]],LocationsKey[Site Name],LocationsKey[Region])</f>
        <v>Shipston</v>
      </c>
      <c r="J422" t="str">
        <f>_xlfn.XLOOKUP(AllDataApr[[#This Row],[Site Name]],LocationsKey[Site Name], LocationsKey[Waterway])</f>
        <v>Stour</v>
      </c>
      <c r="K422" t="s">
        <v>198</v>
      </c>
      <c r="L422">
        <v>52.046523000000001</v>
      </c>
      <c r="M422">
        <v>-1.6734359999999999</v>
      </c>
      <c r="N422" t="s">
        <v>42</v>
      </c>
      <c r="O422">
        <v>483</v>
      </c>
      <c r="P422">
        <v>10</v>
      </c>
      <c r="Q422">
        <v>2</v>
      </c>
      <c r="R422" s="7" t="str">
        <f>IF(AllDataApr[[#This Row],[Nitrate (PPM)]]&gt;2, "Very high", IF(AllDataApr[[#This Row],[Nitrate (PPM)]]&gt;1, "High", IF(AllDataApr[[#This Row],[Nitrate (PPM)]]&gt;0.5, "Some evidence", IF(AllDataApr[[#This Row],[Nitrate (PPM)]]&gt;0, "No evidence", IF(AllDataApr[[#This Row],[Nitrate (PPM)]]=0, "")))))</f>
        <v>High</v>
      </c>
      <c r="S422">
        <v>0.73</v>
      </c>
      <c r="T422" s="7" t="str">
        <f>IF(AllDataApr[[#This Row],[Phosphate (PPM)]]&gt;0.5, "Very high", IF(AllDataApr[[#This Row],[Phosphate (PPM)]]&gt;0.1, "High", IF(AllDataApr[[#This Row],[Phosphate (PPM)]]&gt;0.05, "Some evidence", IF(AllDataApr[[#This Row],[Phosphate (PPM)]]=0, ""))))</f>
        <v>Very high</v>
      </c>
      <c r="U422">
        <v>0.25</v>
      </c>
    </row>
    <row r="423" spans="1:22" x14ac:dyDescent="0.3">
      <c r="A423" t="s">
        <v>509</v>
      </c>
      <c r="B423" s="2">
        <v>45341</v>
      </c>
      <c r="C423" s="2" t="str" cm="1">
        <f t="array" ref="C42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23">
        <f>YEAR(AllDataApr[[#This Row],[Date]])</f>
        <v>2024</v>
      </c>
      <c r="E423" s="1">
        <v>0.38750000000000001</v>
      </c>
      <c r="F423" s="2" t="str">
        <f>IF(AND(AllDataApr[[#This Row],[Time]]&lt;0.5, AllDataApr[[#This Row],[Time]]&gt;0.17)=TRUE, "Morning", IF(AND(AllDataApr[[#This Row],[Time]]&lt;0.75, AllDataApr[[#This Row],[Time]]&gt;=0.5)=TRUE, "Afternoon", IF(AND(AllDataApr[[#This Row],[Time]]&lt;1, AllDataApr[[#This Row],[Time]]&gt;=0.75)=TRUE, "Evening", "Night")))</f>
        <v>Morning</v>
      </c>
      <c r="G423" t="s">
        <v>150</v>
      </c>
      <c r="H423" t="str">
        <f>_xlfn.XLOOKUP(AllDataApr[[#This Row],[Location Name]], Locations[Row Labels],Locations[Group As])</f>
        <v>Stour Stretton-on-Fosse Sewage Works</v>
      </c>
      <c r="I423" t="str">
        <f>_xlfn.XLOOKUP(AllDataApr[[#This Row],[Site Name]],LocationsKey[Site Name],LocationsKey[Region])</f>
        <v>Shipston</v>
      </c>
      <c r="J423" t="str">
        <f>_xlfn.XLOOKUP(AllDataApr[[#This Row],[Site Name]],LocationsKey[Site Name], LocationsKey[Waterway])</f>
        <v>Stour</v>
      </c>
      <c r="K423" t="s">
        <v>151</v>
      </c>
      <c r="L423">
        <v>52.045682999999997</v>
      </c>
      <c r="M423">
        <v>-1.6719710000000001</v>
      </c>
      <c r="N423" t="s">
        <v>18</v>
      </c>
      <c r="O423">
        <v>513</v>
      </c>
      <c r="P423">
        <v>9.1999999999999993</v>
      </c>
      <c r="Q423">
        <v>2</v>
      </c>
      <c r="R423" s="7" t="str">
        <f>IF(AllDataApr[[#This Row],[Nitrate (PPM)]]&gt;2, "Very high", IF(AllDataApr[[#This Row],[Nitrate (PPM)]]&gt;1, "High", IF(AllDataApr[[#This Row],[Nitrate (PPM)]]&gt;0.5, "Some evidence", IF(AllDataApr[[#This Row],[Nitrate (PPM)]]&gt;0, "No evidence", IF(AllDataApr[[#This Row],[Nitrate (PPM)]]=0, "")))))</f>
        <v>High</v>
      </c>
      <c r="S423">
        <v>0.85</v>
      </c>
      <c r="T423" s="7" t="str">
        <f>IF(AllDataApr[[#This Row],[Phosphate (PPM)]]&gt;0.5, "Very high", IF(AllDataApr[[#This Row],[Phosphate (PPM)]]&gt;0.1, "High", IF(AllDataApr[[#This Row],[Phosphate (PPM)]]&gt;0.05, "Some evidence", IF(AllDataApr[[#This Row],[Phosphate (PPM)]]=0, ""))))</f>
        <v>Very high</v>
      </c>
      <c r="U423">
        <v>0.3</v>
      </c>
    </row>
    <row r="424" spans="1:22" x14ac:dyDescent="0.3">
      <c r="A424" t="s">
        <v>504</v>
      </c>
      <c r="B424" s="2">
        <v>45341</v>
      </c>
      <c r="C424" s="2" t="str" cm="1">
        <f t="array" ref="C42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24">
        <f>YEAR(AllDataApr[[#This Row],[Date]])</f>
        <v>2024</v>
      </c>
      <c r="E424" s="1">
        <v>0.6694444444444444</v>
      </c>
      <c r="F424" s="2" t="str">
        <f>IF(AND(AllDataApr[[#This Row],[Time]]&lt;0.5, AllDataApr[[#This Row],[Time]]&gt;0.17)=TRUE, "Morning", IF(AND(AllDataApr[[#This Row],[Time]]&lt;0.75, AllDataApr[[#This Row],[Time]]&gt;=0.5)=TRUE, "Afternoon", IF(AND(AllDataApr[[#This Row],[Time]]&lt;1, AllDataApr[[#This Row],[Time]]&gt;=0.75)=TRUE, "Evening", "Night")))</f>
        <v>Afternoon</v>
      </c>
      <c r="G424" t="s">
        <v>274</v>
      </c>
      <c r="H424" t="str">
        <f>_xlfn.XLOOKUP(AllDataApr[[#This Row],[Location Name]], Locations[Row Labels],Locations[Group As])</f>
        <v>Abbey Mill</v>
      </c>
      <c r="I424" t="str">
        <f>_xlfn.XLOOKUP(AllDataApr[[#This Row],[Site Name]],LocationsKey[Site Name],LocationsKey[Region])</f>
        <v>Tewkesbury</v>
      </c>
      <c r="J424" t="str">
        <f>_xlfn.XLOOKUP(AllDataApr[[#This Row],[Site Name]],LocationsKey[Site Name], LocationsKey[Waterway])</f>
        <v>Avon</v>
      </c>
      <c r="K424" t="s">
        <v>13</v>
      </c>
      <c r="L424">
        <v>51.990988000000002</v>
      </c>
      <c r="M424">
        <v>-2.162048</v>
      </c>
      <c r="N424" t="s">
        <v>18</v>
      </c>
      <c r="O424">
        <v>469</v>
      </c>
      <c r="P424">
        <v>11.6</v>
      </c>
      <c r="Q424">
        <v>4</v>
      </c>
      <c r="R424" s="7" t="str">
        <f>IF(AllDataApr[[#This Row],[Nitrate (PPM)]]&gt;2, "Very high", IF(AllDataApr[[#This Row],[Nitrate (PPM)]]&gt;1, "High", IF(AllDataApr[[#This Row],[Nitrate (PPM)]]&gt;0.5, "Some evidence", IF(AllDataApr[[#This Row],[Nitrate (PPM)]]&gt;0, "No evidence", IF(AllDataApr[[#This Row],[Nitrate (PPM)]]=0, "")))))</f>
        <v>Very high</v>
      </c>
      <c r="S424">
        <v>0.6</v>
      </c>
      <c r="T424" s="7" t="str">
        <f>IF(AllDataApr[[#This Row],[Phosphate (PPM)]]&gt;0.5, "Very high", IF(AllDataApr[[#This Row],[Phosphate (PPM)]]&gt;0.1, "High", IF(AllDataApr[[#This Row],[Phosphate (PPM)]]&gt;0.05, "Some evidence", IF(AllDataApr[[#This Row],[Phosphate (PPM)]]=0, ""))))</f>
        <v>Very high</v>
      </c>
      <c r="U424">
        <v>2.2999999999999998</v>
      </c>
      <c r="V424" t="s">
        <v>285</v>
      </c>
    </row>
    <row r="425" spans="1:22" x14ac:dyDescent="0.3">
      <c r="A425" t="s">
        <v>491</v>
      </c>
      <c r="B425" s="2">
        <v>45343</v>
      </c>
      <c r="C425" s="2" t="str" cm="1">
        <f t="array" ref="C42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25">
        <f>YEAR(AllDataApr[[#This Row],[Date]])</f>
        <v>2024</v>
      </c>
      <c r="E425" s="1">
        <v>0.625</v>
      </c>
      <c r="F425" s="2" t="str">
        <f>IF(AND(AllDataApr[[#This Row],[Time]]&lt;0.5, AllDataApr[[#This Row],[Time]]&gt;0.17)=TRUE, "Morning", IF(AND(AllDataApr[[#This Row],[Time]]&lt;0.75, AllDataApr[[#This Row],[Time]]&gt;=0.5)=TRUE, "Afternoon", IF(AND(AllDataApr[[#This Row],[Time]]&lt;1, AllDataApr[[#This Row],[Time]]&gt;=0.75)=TRUE, "Evening", "Night")))</f>
        <v>Afternoon</v>
      </c>
      <c r="G425" t="s">
        <v>127</v>
      </c>
      <c r="H425" t="str">
        <f>_xlfn.XLOOKUP(AllDataApr[[#This Row],[Location Name]], Locations[Row Labels],Locations[Group As])</f>
        <v>Swiffen Bank</v>
      </c>
      <c r="I425" t="str">
        <f>_xlfn.XLOOKUP(AllDataApr[[#This Row],[Site Name]],LocationsKey[Site Name],LocationsKey[Region])</f>
        <v>Stratford</v>
      </c>
      <c r="J425" t="str">
        <f>_xlfn.XLOOKUP(AllDataApr[[#This Row],[Site Name]],LocationsKey[Site Name], LocationsKey[Waterway])</f>
        <v>Avon</v>
      </c>
      <c r="K425" t="s">
        <v>130</v>
      </c>
      <c r="L425">
        <v>52.206477999999997</v>
      </c>
      <c r="M425">
        <v>-1.653894</v>
      </c>
      <c r="N425" t="s">
        <v>18</v>
      </c>
      <c r="O425">
        <v>496</v>
      </c>
      <c r="P425">
        <v>12.6</v>
      </c>
      <c r="Q425">
        <v>5</v>
      </c>
      <c r="R425" s="7" t="str">
        <f>IF(AllDataApr[[#This Row],[Nitrate (PPM)]]&gt;2, "Very high", IF(AllDataApr[[#This Row],[Nitrate (PPM)]]&gt;1, "High", IF(AllDataApr[[#This Row],[Nitrate (PPM)]]&gt;0.5, "Some evidence", IF(AllDataApr[[#This Row],[Nitrate (PPM)]]&gt;0, "No evidence", IF(AllDataApr[[#This Row],[Nitrate (PPM)]]=0, "")))))</f>
        <v>Very high</v>
      </c>
      <c r="S425">
        <v>0.56000000000000005</v>
      </c>
      <c r="T425" s="7" t="str">
        <f>IF(AllDataApr[[#This Row],[Phosphate (PPM)]]&gt;0.5, "Very high", IF(AllDataApr[[#This Row],[Phosphate (PPM)]]&gt;0.1, "High", IF(AllDataApr[[#This Row],[Phosphate (PPM)]]&gt;0.05, "Some evidence", IF(AllDataApr[[#This Row],[Phosphate (PPM)]]=0, ""))))</f>
        <v>Very high</v>
      </c>
      <c r="U425">
        <v>1.8</v>
      </c>
      <c r="V425" t="s">
        <v>288</v>
      </c>
    </row>
    <row r="426" spans="1:22" x14ac:dyDescent="0.3">
      <c r="A426" t="s">
        <v>490</v>
      </c>
      <c r="B426" s="2">
        <v>45343</v>
      </c>
      <c r="C426" s="2" t="str" cm="1">
        <f t="array" ref="C42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26">
        <f>YEAR(AllDataApr[[#This Row],[Date]])</f>
        <v>2024</v>
      </c>
      <c r="E426" s="1">
        <v>0.64583333333333337</v>
      </c>
      <c r="F426" s="2" t="str">
        <f>IF(AND(AllDataApr[[#This Row],[Time]]&lt;0.5, AllDataApr[[#This Row],[Time]]&gt;0.17)=TRUE, "Morning", IF(AND(AllDataApr[[#This Row],[Time]]&lt;0.75, AllDataApr[[#This Row],[Time]]&gt;=0.5)=TRUE, "Afternoon", IF(AND(AllDataApr[[#This Row],[Time]]&lt;1, AllDataApr[[#This Row],[Time]]&gt;=0.75)=TRUE, "Evening", "Night")))</f>
        <v>Afternoon</v>
      </c>
      <c r="G426" t="s">
        <v>129</v>
      </c>
      <c r="H426" t="str">
        <f>_xlfn.XLOOKUP(AllDataApr[[#This Row],[Location Name]], Locations[Row Labels],Locations[Group As])</f>
        <v>Alveston Weir</v>
      </c>
      <c r="I426" t="str">
        <f>_xlfn.XLOOKUP(AllDataApr[[#This Row],[Site Name]],LocationsKey[Site Name],LocationsKey[Region])</f>
        <v>Stratford</v>
      </c>
      <c r="J426" t="str">
        <f>_xlfn.XLOOKUP(AllDataApr[[#This Row],[Site Name]],LocationsKey[Site Name], LocationsKey[Waterway])</f>
        <v>Avon</v>
      </c>
      <c r="K426" t="s">
        <v>128</v>
      </c>
      <c r="L426">
        <v>52.212288999999998</v>
      </c>
      <c r="M426">
        <v>-1.660452</v>
      </c>
      <c r="N426" t="s">
        <v>18</v>
      </c>
      <c r="O426">
        <v>498</v>
      </c>
      <c r="P426">
        <v>11.4</v>
      </c>
      <c r="Q426">
        <v>5</v>
      </c>
      <c r="R426" s="7" t="str">
        <f>IF(AllDataApr[[#This Row],[Nitrate (PPM)]]&gt;2, "Very high", IF(AllDataApr[[#This Row],[Nitrate (PPM)]]&gt;1, "High", IF(AllDataApr[[#This Row],[Nitrate (PPM)]]&gt;0.5, "Some evidence", IF(AllDataApr[[#This Row],[Nitrate (PPM)]]&gt;0, "No evidence", IF(AllDataApr[[#This Row],[Nitrate (PPM)]]=0, "")))))</f>
        <v>Very high</v>
      </c>
      <c r="S426">
        <v>0.48</v>
      </c>
      <c r="T426" s="7" t="str">
        <f>IF(AllDataApr[[#This Row],[Phosphate (PPM)]]&gt;0.5, "Very high", IF(AllDataApr[[#This Row],[Phosphate (PPM)]]&gt;0.1, "High", IF(AllDataApr[[#This Row],[Phosphate (PPM)]]&gt;0.05, "Some evidence", IF(AllDataApr[[#This Row],[Phosphate (PPM)]]=0, ""))))</f>
        <v>High</v>
      </c>
      <c r="U426">
        <v>1.8</v>
      </c>
      <c r="V426" t="s">
        <v>289</v>
      </c>
    </row>
    <row r="427" spans="1:22" x14ac:dyDescent="0.3">
      <c r="A427" s="11" t="s">
        <v>479</v>
      </c>
      <c r="B427" s="2">
        <v>45343</v>
      </c>
      <c r="C427" s="2" t="str" cm="1">
        <f t="array" ref="C42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27">
        <f>YEAR(AllDataApr[[#This Row],[Date]])</f>
        <v>2024</v>
      </c>
      <c r="E427" s="1">
        <v>0.66666666666666663</v>
      </c>
      <c r="F427" s="2" t="str">
        <f>IF(AND(AllDataApr[[#This Row],[Time]]&lt;0.5, AllDataApr[[#This Row],[Time]]&gt;0.17)=TRUE, "Morning", IF(AND(AllDataApr[[#This Row],[Time]]&lt;0.75, AllDataApr[[#This Row],[Time]]&gt;=0.5)=TRUE, "Afternoon", IF(AND(AllDataApr[[#This Row],[Time]]&lt;1, AllDataApr[[#This Row],[Time]]&gt;=0.75)=TRUE, "Evening", "Night")))</f>
        <v>Afternoon</v>
      </c>
      <c r="G427" t="s">
        <v>57</v>
      </c>
      <c r="H427" t="str">
        <f>_xlfn.XLOOKUP(AllDataApr[[#This Row],[Location Name]], Locations[Row Labels],Locations[Group As])</f>
        <v>Stour Newbold Mill</v>
      </c>
      <c r="I427" t="str">
        <f>_xlfn.XLOOKUP(AllDataApr[[#This Row],[Site Name]],LocationsKey[Site Name],LocationsKey[Region])</f>
        <v>Shipston</v>
      </c>
      <c r="J427" t="str">
        <f>_xlfn.XLOOKUP(AllDataApr[[#This Row],[Site Name]],LocationsKey[Site Name], LocationsKey[Waterway])</f>
        <v>Stour</v>
      </c>
      <c r="K427" t="s">
        <v>66</v>
      </c>
      <c r="L427">
        <v>52.112822000000001</v>
      </c>
      <c r="M427">
        <v>-1.6334850000000001</v>
      </c>
      <c r="N427" t="s">
        <v>42</v>
      </c>
      <c r="O427">
        <v>483</v>
      </c>
      <c r="P427">
        <v>12.1</v>
      </c>
      <c r="Q427">
        <v>2</v>
      </c>
      <c r="R427" s="7" t="str">
        <f>IF(AllDataApr[[#This Row],[Nitrate (PPM)]]&gt;2, "Very high", IF(AllDataApr[[#This Row],[Nitrate (PPM)]]&gt;1, "High", IF(AllDataApr[[#This Row],[Nitrate (PPM)]]&gt;0.5, "Some evidence", IF(AllDataApr[[#This Row],[Nitrate (PPM)]]&gt;0, "No evidence", IF(AllDataApr[[#This Row],[Nitrate (PPM)]]=0, "")))))</f>
        <v>High</v>
      </c>
      <c r="S427">
        <v>0.22</v>
      </c>
      <c r="T427" s="7" t="str">
        <f>IF(AllDataApr[[#This Row],[Phosphate (PPM)]]&gt;0.5, "Very high", IF(AllDataApr[[#This Row],[Phosphate (PPM)]]&gt;0.1, "High", IF(AllDataApr[[#This Row],[Phosphate (PPM)]]&gt;0.05, "Some evidence", IF(AllDataApr[[#This Row],[Phosphate (PPM)]]=0, ""))))</f>
        <v>High</v>
      </c>
      <c r="U427">
        <v>3.5</v>
      </c>
      <c r="V427" t="s">
        <v>296</v>
      </c>
    </row>
    <row r="428" spans="1:22" x14ac:dyDescent="0.3">
      <c r="A428" t="s">
        <v>489</v>
      </c>
      <c r="B428" s="2">
        <v>45344</v>
      </c>
      <c r="C428" s="2" t="str" cm="1">
        <f t="array" ref="C42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28">
        <f>YEAR(AllDataApr[[#This Row],[Date]])</f>
        <v>2024</v>
      </c>
      <c r="E428" s="1">
        <v>0.49444444444444446</v>
      </c>
      <c r="F428" s="2" t="str">
        <f>IF(AND(AllDataApr[[#This Row],[Time]]&lt;0.5, AllDataApr[[#This Row],[Time]]&gt;0.17)=TRUE, "Morning", IF(AND(AllDataApr[[#This Row],[Time]]&lt;0.75, AllDataApr[[#This Row],[Time]]&gt;=0.5)=TRUE, "Afternoon", IF(AND(AllDataApr[[#This Row],[Time]]&lt;1, AllDataApr[[#This Row],[Time]]&gt;=0.75)=TRUE, "Evening", "Night")))</f>
        <v>Morning</v>
      </c>
      <c r="G428" t="s">
        <v>220</v>
      </c>
      <c r="H428" t="str">
        <f>_xlfn.XLOOKUP(AllDataApr[[#This Row],[Location Name]], Locations[Row Labels],Locations[Group As])</f>
        <v>Stour Willington</v>
      </c>
      <c r="I428" t="str">
        <f>_xlfn.XLOOKUP(AllDataApr[[#This Row],[Site Name]],LocationsKey[Site Name],LocationsKey[Region])</f>
        <v>Shipston</v>
      </c>
      <c r="J428" t="str">
        <f>_xlfn.XLOOKUP(AllDataApr[[#This Row],[Site Name]],LocationsKey[Site Name], LocationsKey[Waterway])</f>
        <v>Stour</v>
      </c>
      <c r="K428" t="s">
        <v>197</v>
      </c>
      <c r="L428">
        <v>52.053592000000002</v>
      </c>
      <c r="M428">
        <v>-1.620263</v>
      </c>
      <c r="O428">
        <v>427</v>
      </c>
      <c r="P428">
        <v>10.4</v>
      </c>
      <c r="Q428">
        <v>0.2</v>
      </c>
      <c r="R428" s="7" t="str">
        <f>IF(AllDataApr[[#This Row],[Nitrate (PPM)]]&gt;2, "Very high", IF(AllDataApr[[#This Row],[Nitrate (PPM)]]&gt;1, "High", IF(AllDataApr[[#This Row],[Nitrate (PPM)]]&gt;0.5, "Some evidence", IF(AllDataApr[[#This Row],[Nitrate (PPM)]]&gt;0, "No evidence", IF(AllDataApr[[#This Row],[Nitrate (PPM)]]=0, "")))))</f>
        <v>No evidence</v>
      </c>
      <c r="S428">
        <v>0.16</v>
      </c>
      <c r="T428" s="7" t="str">
        <f>IF(AllDataApr[[#This Row],[Phosphate (PPM)]]&gt;0.5, "Very high", IF(AllDataApr[[#This Row],[Phosphate (PPM)]]&gt;0.1, "High", IF(AllDataApr[[#This Row],[Phosphate (PPM)]]&gt;0.05, "Some evidence", IF(AllDataApr[[#This Row],[Phosphate (PPM)]]=0, ""))))</f>
        <v>High</v>
      </c>
      <c r="U428">
        <v>1.25</v>
      </c>
      <c r="V428" t="s">
        <v>268</v>
      </c>
    </row>
    <row r="429" spans="1:22" x14ac:dyDescent="0.3">
      <c r="A429" t="s">
        <v>483</v>
      </c>
      <c r="B429" s="2">
        <v>45344</v>
      </c>
      <c r="C429" s="2" t="str" cm="1">
        <f t="array" ref="C42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29">
        <f>YEAR(AllDataApr[[#This Row],[Date]])</f>
        <v>2024</v>
      </c>
      <c r="E429" s="1">
        <v>0.5625</v>
      </c>
      <c r="F429" s="2" t="str">
        <f>IF(AND(AllDataApr[[#This Row],[Time]]&lt;0.5, AllDataApr[[#This Row],[Time]]&gt;0.17)=TRUE, "Morning", IF(AND(AllDataApr[[#This Row],[Time]]&lt;0.75, AllDataApr[[#This Row],[Time]]&gt;=0.5)=TRUE, "Afternoon", IF(AND(AllDataApr[[#This Row],[Time]]&lt;1, AllDataApr[[#This Row],[Time]]&gt;=0.75)=TRUE, "Evening", "Night")))</f>
        <v>Afternoon</v>
      </c>
      <c r="G429" t="s">
        <v>46</v>
      </c>
      <c r="H429" t="str">
        <f>_xlfn.XLOOKUP(AllDataApr[[#This Row],[Location Name]], Locations[Row Labels],Locations[Group As])</f>
        <v>Swilgate</v>
      </c>
      <c r="I429" t="str">
        <f>_xlfn.XLOOKUP(AllDataApr[[#This Row],[Site Name]],LocationsKey[Site Name],LocationsKey[Region])</f>
        <v>Tewkesbury</v>
      </c>
      <c r="J429" t="str">
        <f>_xlfn.XLOOKUP(AllDataApr[[#This Row],[Site Name]],LocationsKey[Site Name], LocationsKey[Waterway])</f>
        <v>Swilgate</v>
      </c>
      <c r="K429" t="s">
        <v>47</v>
      </c>
      <c r="N429" t="s">
        <v>200</v>
      </c>
      <c r="O429">
        <v>709</v>
      </c>
      <c r="P429">
        <v>9.5</v>
      </c>
      <c r="Q429">
        <v>3</v>
      </c>
      <c r="R429" s="7" t="str">
        <f>IF(AllDataApr[[#This Row],[Nitrate (PPM)]]&gt;2, "Very high", IF(AllDataApr[[#This Row],[Nitrate (PPM)]]&gt;1, "High", IF(AllDataApr[[#This Row],[Nitrate (PPM)]]&gt;0.5, "Some evidence", IF(AllDataApr[[#This Row],[Nitrate (PPM)]]&gt;0, "No evidence", IF(AllDataApr[[#This Row],[Nitrate (PPM)]]=0, "")))))</f>
        <v>Very high</v>
      </c>
      <c r="S429">
        <v>0.47</v>
      </c>
      <c r="T429" s="7" t="str">
        <f>IF(AllDataApr[[#This Row],[Phosphate (PPM)]]&gt;0.5, "Very high", IF(AllDataApr[[#This Row],[Phosphate (PPM)]]&gt;0.1, "High", IF(AllDataApr[[#This Row],[Phosphate (PPM)]]&gt;0.05, "Some evidence", IF(AllDataApr[[#This Row],[Phosphate (PPM)]]=0, ""))))</f>
        <v>High</v>
      </c>
      <c r="U429">
        <v>2.5</v>
      </c>
      <c r="V429" t="s">
        <v>132</v>
      </c>
    </row>
    <row r="430" spans="1:22" x14ac:dyDescent="0.3">
      <c r="A430" t="s">
        <v>488</v>
      </c>
      <c r="B430" s="2">
        <v>45345</v>
      </c>
      <c r="C430" s="2" t="str" cm="1">
        <f t="array" ref="C43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30">
        <f>YEAR(AllDataApr[[#This Row],[Date]])</f>
        <v>2024</v>
      </c>
      <c r="E430" s="1">
        <v>0.4375</v>
      </c>
      <c r="F430" s="2" t="str">
        <f>IF(AND(AllDataApr[[#This Row],[Time]]&lt;0.5, AllDataApr[[#This Row],[Time]]&gt;0.17)=TRUE, "Morning", IF(AND(AllDataApr[[#This Row],[Time]]&lt;0.75, AllDataApr[[#This Row],[Time]]&gt;=0.5)=TRUE, "Afternoon", IF(AND(AllDataApr[[#This Row],[Time]]&lt;1, AllDataApr[[#This Row],[Time]]&gt;=0.75)=TRUE, "Evening", "Night")))</f>
        <v>Morning</v>
      </c>
      <c r="G430" t="s">
        <v>277</v>
      </c>
      <c r="H430" t="str">
        <f>_xlfn.XLOOKUP(AllDataApr[[#This Row],[Location Name]], Locations[Row Labels],Locations[Group As])</f>
        <v>Mill Bridge Peopleton</v>
      </c>
      <c r="I430" t="str">
        <f>_xlfn.XLOOKUP(AllDataApr[[#This Row],[Site Name]],LocationsKey[Site Name],LocationsKey[Region])</f>
        <v>Pershore</v>
      </c>
      <c r="J430" t="str">
        <f>_xlfn.XLOOKUP(AllDataApr[[#This Row],[Site Name]],LocationsKey[Site Name], LocationsKey[Waterway])</f>
        <v>Bow Brook</v>
      </c>
      <c r="K430" t="s">
        <v>281</v>
      </c>
      <c r="L430">
        <v>52.151693999999999</v>
      </c>
      <c r="M430">
        <v>-2.0962040000000002</v>
      </c>
      <c r="N430" t="s">
        <v>18</v>
      </c>
      <c r="O430">
        <v>305</v>
      </c>
      <c r="P430">
        <v>6.9</v>
      </c>
      <c r="R430" s="7" t="str">
        <f>IF(AllDataApr[[#This Row],[Nitrate (PPM)]]&gt;2, "Very high", IF(AllDataApr[[#This Row],[Nitrate (PPM)]]&gt;1, "High", IF(AllDataApr[[#This Row],[Nitrate (PPM)]]&gt;0.5, "Some evidence", IF(AllDataApr[[#This Row],[Nitrate (PPM)]]&gt;0, "No evidence", IF(AllDataApr[[#This Row],[Nitrate (PPM)]]=0, "")))))</f>
        <v/>
      </c>
      <c r="S430">
        <v>0.21</v>
      </c>
      <c r="T430" s="7" t="str">
        <f>IF(AllDataApr[[#This Row],[Phosphate (PPM)]]&gt;0.5, "Very high", IF(AllDataApr[[#This Row],[Phosphate (PPM)]]&gt;0.1, "High", IF(AllDataApr[[#This Row],[Phosphate (PPM)]]&gt;0.05, "Some evidence", IF(AllDataApr[[#This Row],[Phosphate (PPM)]]=0, ""))))</f>
        <v>High</v>
      </c>
      <c r="U430">
        <v>2</v>
      </c>
      <c r="V430" t="s">
        <v>290</v>
      </c>
    </row>
    <row r="431" spans="1:22" x14ac:dyDescent="0.3">
      <c r="A431" t="s">
        <v>487</v>
      </c>
      <c r="B431" s="2">
        <v>45345</v>
      </c>
      <c r="C431" s="2" t="str" cm="1">
        <f t="array" ref="C43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31">
        <f>YEAR(AllDataApr[[#This Row],[Date]])</f>
        <v>2024</v>
      </c>
      <c r="E431" s="1">
        <v>0.60416666666666663</v>
      </c>
      <c r="F431" s="2" t="str">
        <f>IF(AND(AllDataApr[[#This Row],[Time]]&lt;0.5, AllDataApr[[#This Row],[Time]]&gt;0.17)=TRUE, "Morning", IF(AND(AllDataApr[[#This Row],[Time]]&lt;0.75, AllDataApr[[#This Row],[Time]]&gt;=0.5)=TRUE, "Afternoon", IF(AND(AllDataApr[[#This Row],[Time]]&lt;1, AllDataApr[[#This Row],[Time]]&gt;=0.75)=TRUE, "Evening", "Night")))</f>
        <v>Afternoon</v>
      </c>
      <c r="G431" t="s">
        <v>906</v>
      </c>
      <c r="H431" t="str">
        <f>_xlfn.XLOOKUP(AllDataApr[[#This Row],[Location Name]], Locations[Row Labels],Locations[Group As])</f>
        <v>Preston Bagot Canal</v>
      </c>
      <c r="I431" t="str">
        <f>_xlfn.XLOOKUP(AllDataApr[[#This Row],[Site Name]],LocationsKey[Site Name],LocationsKey[Region])</f>
        <v>Henley-in-Arden</v>
      </c>
      <c r="J431" t="str">
        <f>_xlfn.XLOOKUP(AllDataApr[[#This Row],[Site Name]],LocationsKey[Site Name], LocationsKey[Waterway])</f>
        <v>Preston Bagot Canal</v>
      </c>
      <c r="K431" t="s">
        <v>922</v>
      </c>
      <c r="O431">
        <v>22</v>
      </c>
      <c r="P431">
        <v>10.1</v>
      </c>
      <c r="Q431">
        <v>2</v>
      </c>
      <c r="R431" s="7" t="str">
        <f>IF(AllDataApr[[#This Row],[Nitrate (PPM)]]&gt;2, "Very high", IF(AllDataApr[[#This Row],[Nitrate (PPM)]]&gt;1, "High", IF(AllDataApr[[#This Row],[Nitrate (PPM)]]&gt;0.5, "Some evidence", IF(AllDataApr[[#This Row],[Nitrate (PPM)]]&gt;0, "No evidence", IF(AllDataApr[[#This Row],[Nitrate (PPM)]]=0, "")))))</f>
        <v>High</v>
      </c>
      <c r="S431">
        <v>0.3</v>
      </c>
      <c r="T431" s="7" t="str">
        <f>IF(AllDataApr[[#This Row],[Phosphate (PPM)]]&gt;0.5, "Very high", IF(AllDataApr[[#This Row],[Phosphate (PPM)]]&gt;0.1, "High", IF(AllDataApr[[#This Row],[Phosphate (PPM)]]&gt;0.05, "Some evidence", IF(AllDataApr[[#This Row],[Phosphate (PPM)]]=0, ""))))</f>
        <v>High</v>
      </c>
      <c r="U431">
        <v>0</v>
      </c>
      <c r="V431" t="s">
        <v>1005</v>
      </c>
    </row>
    <row r="432" spans="1:22" x14ac:dyDescent="0.3">
      <c r="A432" t="s">
        <v>486</v>
      </c>
      <c r="B432" s="2">
        <v>45345</v>
      </c>
      <c r="C432" s="2" t="str" cm="1">
        <f t="array" ref="C43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32">
        <f>YEAR(AllDataApr[[#This Row],[Date]])</f>
        <v>2024</v>
      </c>
      <c r="E432" s="1">
        <v>0.61111111111111116</v>
      </c>
      <c r="F432" s="2" t="str">
        <f>IF(AND(AllDataApr[[#This Row],[Time]]&lt;0.5, AllDataApr[[#This Row],[Time]]&gt;0.17)=TRUE, "Morning", IF(AND(AllDataApr[[#This Row],[Time]]&lt;0.75, AllDataApr[[#This Row],[Time]]&gt;=0.5)=TRUE, "Afternoon", IF(AND(AllDataApr[[#This Row],[Time]]&lt;1, AllDataApr[[#This Row],[Time]]&gt;=0.75)=TRUE, "Evening", "Night")))</f>
        <v>Afternoon</v>
      </c>
      <c r="G432" t="s">
        <v>906</v>
      </c>
      <c r="H432" t="str">
        <f>_xlfn.XLOOKUP(AllDataApr[[#This Row],[Location Name]], Locations[Row Labels],Locations[Group As])</f>
        <v>Preston Bagot Brook</v>
      </c>
      <c r="I432" t="str">
        <f>_xlfn.XLOOKUP(AllDataApr[[#This Row],[Site Name]],LocationsKey[Site Name],LocationsKey[Region])</f>
        <v>Henley-in-Arden</v>
      </c>
      <c r="J432" t="str">
        <f>_xlfn.XLOOKUP(AllDataApr[[#This Row],[Site Name]],LocationsKey[Site Name], LocationsKey[Waterway])</f>
        <v>Preston Bagot Brook</v>
      </c>
      <c r="K432" t="s">
        <v>921</v>
      </c>
      <c r="N432" t="s">
        <v>200</v>
      </c>
      <c r="O432">
        <v>390</v>
      </c>
      <c r="P432">
        <v>11.2</v>
      </c>
      <c r="Q432">
        <v>2</v>
      </c>
      <c r="R432" s="7" t="str">
        <f>IF(AllDataApr[[#This Row],[Nitrate (PPM)]]&gt;2, "Very high", IF(AllDataApr[[#This Row],[Nitrate (PPM)]]&gt;1, "High", IF(AllDataApr[[#This Row],[Nitrate (PPM)]]&gt;0.5, "Some evidence", IF(AllDataApr[[#This Row],[Nitrate (PPM)]]&gt;0, "No evidence", IF(AllDataApr[[#This Row],[Nitrate (PPM)]]=0, "")))))</f>
        <v>High</v>
      </c>
      <c r="S432">
        <v>0.56000000000000005</v>
      </c>
      <c r="T432" s="7" t="str">
        <f>IF(AllDataApr[[#This Row],[Phosphate (PPM)]]&gt;0.5, "Very high", IF(AllDataApr[[#This Row],[Phosphate (PPM)]]&gt;0.1, "High", IF(AllDataApr[[#This Row],[Phosphate (PPM)]]&gt;0.05, "Some evidence", IF(AllDataApr[[#This Row],[Phosphate (PPM)]]=0, ""))))</f>
        <v>Very high</v>
      </c>
      <c r="U432">
        <v>0</v>
      </c>
      <c r="V432" t="s">
        <v>1005</v>
      </c>
    </row>
    <row r="433" spans="1:22" x14ac:dyDescent="0.3">
      <c r="A433" t="s">
        <v>485</v>
      </c>
      <c r="B433" s="2">
        <v>45345</v>
      </c>
      <c r="C433" s="2" t="str" cm="1">
        <f t="array" ref="C43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33">
        <f>YEAR(AllDataApr[[#This Row],[Date]])</f>
        <v>2024</v>
      </c>
      <c r="E433" s="1">
        <v>0.7006944444444444</v>
      </c>
      <c r="F433" s="2" t="str">
        <f>IF(AND(AllDataApr[[#This Row],[Time]]&lt;0.5, AllDataApr[[#This Row],[Time]]&gt;0.17)=TRUE, "Morning", IF(AND(AllDataApr[[#This Row],[Time]]&lt;0.75, AllDataApr[[#This Row],[Time]]&gt;=0.5)=TRUE, "Afternoon", IF(AND(AllDataApr[[#This Row],[Time]]&lt;1, AllDataApr[[#This Row],[Time]]&gt;=0.75)=TRUE, "Evening", "Night")))</f>
        <v>Afternoon</v>
      </c>
      <c r="G433" t="s">
        <v>59</v>
      </c>
      <c r="H433" t="str">
        <f>_xlfn.XLOOKUP(AllDataApr[[#This Row],[Location Name]], Locations[Row Labels],Locations[Group As])</f>
        <v>Preston-on-Stour River Bridge</v>
      </c>
      <c r="I433" t="str">
        <f>_xlfn.XLOOKUP(AllDataApr[[#This Row],[Site Name]],LocationsKey[Site Name],LocationsKey[Region])</f>
        <v>Stratford</v>
      </c>
      <c r="J433" t="str">
        <f>_xlfn.XLOOKUP(AllDataApr[[#This Row],[Site Name]],LocationsKey[Site Name], LocationsKey[Waterway])</f>
        <v>Stour</v>
      </c>
      <c r="K433" t="s">
        <v>78</v>
      </c>
      <c r="L433">
        <v>52.146557000000001</v>
      </c>
      <c r="M433">
        <v>-1.6997789999999999</v>
      </c>
      <c r="N433" t="s">
        <v>18</v>
      </c>
      <c r="O433">
        <v>436</v>
      </c>
      <c r="P433">
        <v>7.6</v>
      </c>
      <c r="Q433">
        <v>5</v>
      </c>
      <c r="R433" s="7" t="str">
        <f>IF(AllDataApr[[#This Row],[Nitrate (PPM)]]&gt;2, "Very high", IF(AllDataApr[[#This Row],[Nitrate (PPM)]]&gt;1, "High", IF(AllDataApr[[#This Row],[Nitrate (PPM)]]&gt;0.5, "Some evidence", IF(AllDataApr[[#This Row],[Nitrate (PPM)]]&gt;0, "No evidence", IF(AllDataApr[[#This Row],[Nitrate (PPM)]]=0, "")))))</f>
        <v>Very high</v>
      </c>
      <c r="S433">
        <v>0.28000000000000003</v>
      </c>
      <c r="T433" s="7" t="str">
        <f>IF(AllDataApr[[#This Row],[Phosphate (PPM)]]&gt;0.5, "Very high", IF(AllDataApr[[#This Row],[Phosphate (PPM)]]&gt;0.1, "High", IF(AllDataApr[[#This Row],[Phosphate (PPM)]]&gt;0.05, "Some evidence", IF(AllDataApr[[#This Row],[Phosphate (PPM)]]=0, ""))))</f>
        <v>High</v>
      </c>
      <c r="U433">
        <v>2</v>
      </c>
      <c r="V433" t="s">
        <v>291</v>
      </c>
    </row>
    <row r="434" spans="1:22" x14ac:dyDescent="0.3">
      <c r="A434" t="s">
        <v>484</v>
      </c>
      <c r="B434" s="2">
        <v>45346</v>
      </c>
      <c r="C434" s="2" t="str" cm="1">
        <f t="array" ref="C43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34">
        <f>YEAR(AllDataApr[[#This Row],[Date]])</f>
        <v>2024</v>
      </c>
      <c r="E434" s="1">
        <v>0.46180555555555558</v>
      </c>
      <c r="F434" s="2" t="str">
        <f>IF(AND(AllDataApr[[#This Row],[Time]]&lt;0.5, AllDataApr[[#This Row],[Time]]&gt;0.17)=TRUE, "Morning", IF(AND(AllDataApr[[#This Row],[Time]]&lt;0.75, AllDataApr[[#This Row],[Time]]&gt;=0.5)=TRUE, "Afternoon", IF(AND(AllDataApr[[#This Row],[Time]]&lt;1, AllDataApr[[#This Row],[Time]]&gt;=0.75)=TRUE, "Evening", "Night")))</f>
        <v>Morning</v>
      </c>
      <c r="G434" t="s">
        <v>11</v>
      </c>
      <c r="H434" t="str">
        <f>_xlfn.XLOOKUP(AllDataApr[[#This Row],[Location Name]], Locations[Row Labels],Locations[Group As])</f>
        <v>Black Bear</v>
      </c>
      <c r="I434" t="str">
        <f>_xlfn.XLOOKUP(AllDataApr[[#This Row],[Site Name]],LocationsKey[Site Name],LocationsKey[Region])</f>
        <v>Tewkesbury</v>
      </c>
      <c r="J434" t="str">
        <f>_xlfn.XLOOKUP(AllDataApr[[#This Row],[Site Name]],LocationsKey[Site Name], LocationsKey[Waterway])</f>
        <v>Avon</v>
      </c>
      <c r="K434" t="s">
        <v>231</v>
      </c>
      <c r="L434">
        <v>51.997377</v>
      </c>
      <c r="M434">
        <v>-2.1561089999999998</v>
      </c>
      <c r="N434" t="s">
        <v>200</v>
      </c>
      <c r="O434">
        <v>408</v>
      </c>
      <c r="P434">
        <v>8.1999999999999993</v>
      </c>
      <c r="Q434">
        <v>4</v>
      </c>
      <c r="R434" s="7" t="str">
        <f>IF(AllDataApr[[#This Row],[Nitrate (PPM)]]&gt;2, "Very high", IF(AllDataApr[[#This Row],[Nitrate (PPM)]]&gt;1, "High", IF(AllDataApr[[#This Row],[Nitrate (PPM)]]&gt;0.5, "Some evidence", IF(AllDataApr[[#This Row],[Nitrate (PPM)]]&gt;0, "No evidence", IF(AllDataApr[[#This Row],[Nitrate (PPM)]]=0, "")))))</f>
        <v>Very high</v>
      </c>
      <c r="S434">
        <v>0.64</v>
      </c>
      <c r="T434" s="7" t="str">
        <f>IF(AllDataApr[[#This Row],[Phosphate (PPM)]]&gt;0.5, "Very high", IF(AllDataApr[[#This Row],[Phosphate (PPM)]]&gt;0.1, "High", IF(AllDataApr[[#This Row],[Phosphate (PPM)]]&gt;0.05, "Some evidence", IF(AllDataApr[[#This Row],[Phosphate (PPM)]]=0, ""))))</f>
        <v>Very high</v>
      </c>
      <c r="U434">
        <v>3</v>
      </c>
    </row>
    <row r="435" spans="1:22" x14ac:dyDescent="0.3">
      <c r="A435" t="s">
        <v>482</v>
      </c>
      <c r="B435" s="2">
        <v>45346</v>
      </c>
      <c r="C435" s="2" t="str" cm="1">
        <f t="array" ref="C43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35">
        <f>YEAR(AllDataApr[[#This Row],[Date]])</f>
        <v>2024</v>
      </c>
      <c r="E435" s="1">
        <v>0.47916666666666669</v>
      </c>
      <c r="F435" s="2" t="str">
        <f>IF(AND(AllDataApr[[#This Row],[Time]]&lt;0.5, AllDataApr[[#This Row],[Time]]&gt;0.17)=TRUE, "Morning", IF(AND(AllDataApr[[#This Row],[Time]]&lt;0.75, AllDataApr[[#This Row],[Time]]&gt;=0.5)=TRUE, "Afternoon", IF(AND(AllDataApr[[#This Row],[Time]]&lt;1, AllDataApr[[#This Row],[Time]]&gt;=0.75)=TRUE, "Evening", "Night")))</f>
        <v>Morning</v>
      </c>
      <c r="G435" t="s">
        <v>52</v>
      </c>
      <c r="H435" t="str">
        <f>_xlfn.XLOOKUP(AllDataApr[[#This Row],[Location Name]], Locations[Row Labels],Locations[Group As])</f>
        <v>Carrant Bredon Rd</v>
      </c>
      <c r="I435" t="str">
        <f>_xlfn.XLOOKUP(AllDataApr[[#This Row],[Site Name]],LocationsKey[Site Name],LocationsKey[Region])</f>
        <v>Tewkesbury</v>
      </c>
      <c r="J435" t="str">
        <f>_xlfn.XLOOKUP(AllDataApr[[#This Row],[Site Name]],LocationsKey[Site Name], LocationsKey[Waterway])</f>
        <v>Carrant</v>
      </c>
      <c r="K435" t="s">
        <v>179</v>
      </c>
      <c r="L435">
        <v>51.998399999999997</v>
      </c>
      <c r="M435">
        <v>-2.1528</v>
      </c>
      <c r="N435" t="s">
        <v>200</v>
      </c>
      <c r="O435">
        <v>446</v>
      </c>
      <c r="P435">
        <v>8</v>
      </c>
      <c r="Q435">
        <v>3</v>
      </c>
      <c r="R435" s="7" t="str">
        <f>IF(AllDataApr[[#This Row],[Nitrate (PPM)]]&gt;2, "Very high", IF(AllDataApr[[#This Row],[Nitrate (PPM)]]&gt;1, "High", IF(AllDataApr[[#This Row],[Nitrate (PPM)]]&gt;0.5, "Some evidence", IF(AllDataApr[[#This Row],[Nitrate (PPM)]]&gt;0, "No evidence", IF(AllDataApr[[#This Row],[Nitrate (PPM)]]=0, "")))))</f>
        <v>Very high</v>
      </c>
      <c r="S435">
        <v>0.62</v>
      </c>
      <c r="T435" s="7" t="str">
        <f>IF(AllDataApr[[#This Row],[Phosphate (PPM)]]&gt;0.5, "Very high", IF(AllDataApr[[#This Row],[Phosphate (PPM)]]&gt;0.1, "High", IF(AllDataApr[[#This Row],[Phosphate (PPM)]]&gt;0.05, "Some evidence", IF(AllDataApr[[#This Row],[Phosphate (PPM)]]=0, ""))))</f>
        <v>Very high</v>
      </c>
      <c r="U435">
        <v>2.11</v>
      </c>
      <c r="V435" t="s">
        <v>292</v>
      </c>
    </row>
    <row r="436" spans="1:22" x14ac:dyDescent="0.3">
      <c r="A436" t="s">
        <v>481</v>
      </c>
      <c r="B436" s="2">
        <v>45347</v>
      </c>
      <c r="C436" s="2" t="str" cm="1">
        <f t="array" ref="C43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36">
        <f>YEAR(AllDataApr[[#This Row],[Date]])</f>
        <v>2024</v>
      </c>
      <c r="E436" s="1">
        <v>0.47569444444444442</v>
      </c>
      <c r="F436" s="2" t="str">
        <f>IF(AND(AllDataApr[[#This Row],[Time]]&lt;0.5, AllDataApr[[#This Row],[Time]]&gt;0.17)=TRUE, "Morning", IF(AND(AllDataApr[[#This Row],[Time]]&lt;0.75, AllDataApr[[#This Row],[Time]]&gt;=0.5)=TRUE, "Afternoon", IF(AND(AllDataApr[[#This Row],[Time]]&lt;1, AllDataApr[[#This Row],[Time]]&gt;=0.75)=TRUE, "Evening", "Night")))</f>
        <v>Morning</v>
      </c>
      <c r="G436" t="s">
        <v>224</v>
      </c>
      <c r="H436" t="str">
        <f>_xlfn.XLOOKUP(AllDataApr[[#This Row],[Location Name]], Locations[Row Labels],Locations[Group As])</f>
        <v>The Ford, Langley</v>
      </c>
      <c r="I436" t="str">
        <f>_xlfn.XLOOKUP(AllDataApr[[#This Row],[Site Name]],LocationsKey[Site Name],LocationsKey[Region])</f>
        <v>Henley-in-Arden</v>
      </c>
      <c r="J436" t="str">
        <f>_xlfn.XLOOKUP(AllDataApr[[#This Row],[Site Name]],LocationsKey[Site Name], LocationsKey[Waterway])</f>
        <v>Langley Ford</v>
      </c>
      <c r="K436" t="s">
        <v>230</v>
      </c>
      <c r="L436">
        <v>52.259639</v>
      </c>
      <c r="M436">
        <v>-1.7181999999999999</v>
      </c>
      <c r="N436" t="s">
        <v>18</v>
      </c>
      <c r="O436">
        <v>520</v>
      </c>
      <c r="P436">
        <v>7.5</v>
      </c>
      <c r="Q436">
        <v>6</v>
      </c>
      <c r="R436" s="7" t="str">
        <f>IF(AllDataApr[[#This Row],[Nitrate (PPM)]]&gt;2, "Very high", IF(AllDataApr[[#This Row],[Nitrate (PPM)]]&gt;1, "High", IF(AllDataApr[[#This Row],[Nitrate (PPM)]]&gt;0.5, "Some evidence", IF(AllDataApr[[#This Row],[Nitrate (PPM)]]&gt;0, "No evidence", IF(AllDataApr[[#This Row],[Nitrate (PPM)]]=0, "")))))</f>
        <v>Very high</v>
      </c>
      <c r="S436">
        <v>0.63</v>
      </c>
      <c r="T436" s="7" t="str">
        <f>IF(AllDataApr[[#This Row],[Phosphate (PPM)]]&gt;0.5, "Very high", IF(AllDataApr[[#This Row],[Phosphate (PPM)]]&gt;0.1, "High", IF(AllDataApr[[#This Row],[Phosphate (PPM)]]&gt;0.05, "Some evidence", IF(AllDataApr[[#This Row],[Phosphate (PPM)]]=0, ""))))</f>
        <v>Very high</v>
      </c>
      <c r="U436">
        <v>35</v>
      </c>
      <c r="V436" t="s">
        <v>294</v>
      </c>
    </row>
    <row r="437" spans="1:22" x14ac:dyDescent="0.3">
      <c r="A437" t="s">
        <v>455</v>
      </c>
      <c r="B437" s="2">
        <v>45347</v>
      </c>
      <c r="C437" s="2" t="str" cm="1">
        <f t="array" ref="C43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37">
        <f>YEAR(AllDataApr[[#This Row],[Date]])</f>
        <v>2024</v>
      </c>
      <c r="E437" s="1">
        <v>0.64583333333333337</v>
      </c>
      <c r="F437" s="2" t="str">
        <f>IF(AND(AllDataApr[[#This Row],[Time]]&lt;0.5, AllDataApr[[#This Row],[Time]]&gt;0.17)=TRUE, "Morning", IF(AND(AllDataApr[[#This Row],[Time]]&lt;0.75, AllDataApr[[#This Row],[Time]]&gt;=0.5)=TRUE, "Afternoon", IF(AND(AllDataApr[[#This Row],[Time]]&lt;1, AllDataApr[[#This Row],[Time]]&gt;=0.75)=TRUE, "Evening", "Night")))</f>
        <v>Afternoon</v>
      </c>
      <c r="G437" t="s">
        <v>218</v>
      </c>
      <c r="H437" t="str">
        <f>_xlfn.XLOOKUP(AllDataApr[[#This Row],[Location Name]], Locations[Row Labels],Locations[Group As])</f>
        <v>Fell Mill Footbridge</v>
      </c>
      <c r="I437" t="str">
        <f>_xlfn.XLOOKUP(AllDataApr[[#This Row],[Site Name]],LocationsKey[Site Name],LocationsKey[Region])</f>
        <v>Shipston</v>
      </c>
      <c r="J437" t="str">
        <f>_xlfn.XLOOKUP(AllDataApr[[#This Row],[Site Name]],LocationsKey[Site Name], LocationsKey[Waterway])</f>
        <v>Stour</v>
      </c>
      <c r="K437" t="s">
        <v>227</v>
      </c>
      <c r="L437">
        <v>52.070131000000003</v>
      </c>
      <c r="M437">
        <v>-1.6114869999999999</v>
      </c>
      <c r="N437" t="s">
        <v>18</v>
      </c>
      <c r="O437">
        <v>560</v>
      </c>
      <c r="P437">
        <v>8.1</v>
      </c>
      <c r="Q437">
        <v>5</v>
      </c>
      <c r="R437" s="7" t="str">
        <f>IF(AllDataApr[[#This Row],[Nitrate (PPM)]]&gt;2, "Very high", IF(AllDataApr[[#This Row],[Nitrate (PPM)]]&gt;1, "High", IF(AllDataApr[[#This Row],[Nitrate (PPM)]]&gt;0.5, "Some evidence", IF(AllDataApr[[#This Row],[Nitrate (PPM)]]&gt;0, "No evidence", IF(AllDataApr[[#This Row],[Nitrate (PPM)]]=0, "")))))</f>
        <v>Very high</v>
      </c>
      <c r="S437">
        <v>0.33</v>
      </c>
      <c r="T437" s="7" t="str">
        <f>IF(AllDataApr[[#This Row],[Phosphate (PPM)]]&gt;0.5, "Very high", IF(AllDataApr[[#This Row],[Phosphate (PPM)]]&gt;0.1, "High", IF(AllDataApr[[#This Row],[Phosphate (PPM)]]&gt;0.05, "Some evidence", IF(AllDataApr[[#This Row],[Phosphate (PPM)]]=0, ""))))</f>
        <v>High</v>
      </c>
      <c r="U437">
        <v>1.5</v>
      </c>
    </row>
    <row r="438" spans="1:22" x14ac:dyDescent="0.3">
      <c r="A438" t="s">
        <v>478</v>
      </c>
      <c r="B438" s="2">
        <v>45347</v>
      </c>
      <c r="C438" s="2" t="str" cm="1">
        <f t="array" ref="C43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38">
        <f>YEAR(AllDataApr[[#This Row],[Date]])</f>
        <v>2024</v>
      </c>
      <c r="E438" s="1">
        <v>0.70763888888888893</v>
      </c>
      <c r="F438" s="2" t="str">
        <f>IF(AND(AllDataApr[[#This Row],[Time]]&lt;0.5, AllDataApr[[#This Row],[Time]]&gt;0.17)=TRUE, "Morning", IF(AND(AllDataApr[[#This Row],[Time]]&lt;0.75, AllDataApr[[#This Row],[Time]]&gt;=0.5)=TRUE, "Afternoon", IF(AND(AllDataApr[[#This Row],[Time]]&lt;1, AllDataApr[[#This Row],[Time]]&gt;=0.75)=TRUE, "Evening", "Night")))</f>
        <v>Afternoon</v>
      </c>
      <c r="G438" t="s">
        <v>274</v>
      </c>
      <c r="H438" t="str">
        <f>_xlfn.XLOOKUP(AllDataApr[[#This Row],[Location Name]], Locations[Row Labels],Locations[Group As])</f>
        <v>Abbey Mill</v>
      </c>
      <c r="I438" t="str">
        <f>_xlfn.XLOOKUP(AllDataApr[[#This Row],[Site Name]],LocationsKey[Site Name],LocationsKey[Region])</f>
        <v>Tewkesbury</v>
      </c>
      <c r="J438" t="str">
        <f>_xlfn.XLOOKUP(AllDataApr[[#This Row],[Site Name]],LocationsKey[Site Name], LocationsKey[Waterway])</f>
        <v>Avon</v>
      </c>
      <c r="K438" t="s">
        <v>13</v>
      </c>
      <c r="L438">
        <v>51.991146000000001</v>
      </c>
      <c r="M438">
        <v>-2.1623779999999999</v>
      </c>
      <c r="N438" t="s">
        <v>18</v>
      </c>
      <c r="O438">
        <v>511</v>
      </c>
      <c r="P438">
        <v>7.2</v>
      </c>
      <c r="Q438">
        <v>5</v>
      </c>
      <c r="R438" s="7" t="str">
        <f>IF(AllDataApr[[#This Row],[Nitrate (PPM)]]&gt;2, "Very high", IF(AllDataApr[[#This Row],[Nitrate (PPM)]]&gt;1, "High", IF(AllDataApr[[#This Row],[Nitrate (PPM)]]&gt;0.5, "Some evidence", IF(AllDataApr[[#This Row],[Nitrate (PPM)]]&gt;0, "No evidence", IF(AllDataApr[[#This Row],[Nitrate (PPM)]]=0, "")))))</f>
        <v>Very high</v>
      </c>
      <c r="S438">
        <v>0.51</v>
      </c>
      <c r="T438" s="7" t="str">
        <f>IF(AllDataApr[[#This Row],[Phosphate (PPM)]]&gt;0.5, "Very high", IF(AllDataApr[[#This Row],[Phosphate (PPM)]]&gt;0.1, "High", IF(AllDataApr[[#This Row],[Phosphate (PPM)]]&gt;0.05, "Some evidence", IF(AllDataApr[[#This Row],[Phosphate (PPM)]]=0, ""))))</f>
        <v>Very high</v>
      </c>
      <c r="U438">
        <v>2.4</v>
      </c>
      <c r="V438" t="s">
        <v>297</v>
      </c>
    </row>
    <row r="439" spans="1:22" x14ac:dyDescent="0.3">
      <c r="A439" t="s">
        <v>361</v>
      </c>
      <c r="B439" s="2">
        <v>45347</v>
      </c>
      <c r="C439" s="2" t="str" cm="1">
        <f t="array" ref="C43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39">
        <f>YEAR(AllDataApr[[#This Row],[Date]])</f>
        <v>2024</v>
      </c>
      <c r="E439" s="1">
        <v>0.70833333333333337</v>
      </c>
      <c r="F439" s="2" t="str">
        <f>IF(AND(AllDataApr[[#This Row],[Time]]&lt;0.5, AllDataApr[[#This Row],[Time]]&gt;0.17)=TRUE, "Morning", IF(AND(AllDataApr[[#This Row],[Time]]&lt;0.75, AllDataApr[[#This Row],[Time]]&gt;=0.5)=TRUE, "Afternoon", IF(AND(AllDataApr[[#This Row],[Time]]&lt;1, AllDataApr[[#This Row],[Time]]&gt;=0.75)=TRUE, "Evening", "Night")))</f>
        <v>Afternoon</v>
      </c>
      <c r="G439" t="s">
        <v>276</v>
      </c>
      <c r="H439" t="str">
        <f>_xlfn.XLOOKUP(AllDataApr[[#This Row],[Location Name]], Locations[Row Labels],Locations[Group As])</f>
        <v>Sherbourne Brook 1</v>
      </c>
      <c r="I439" t="str">
        <f>_xlfn.XLOOKUP(AllDataApr[[#This Row],[Site Name]],LocationsKey[Site Name],LocationsKey[Region])</f>
        <v>Stratford</v>
      </c>
      <c r="J439" t="str">
        <f>_xlfn.XLOOKUP(AllDataApr[[#This Row],[Site Name]],LocationsKey[Site Name], LocationsKey[Waterway])</f>
        <v>Sherbourne Brook</v>
      </c>
      <c r="K439" t="s">
        <v>280</v>
      </c>
      <c r="N439" t="s">
        <v>200</v>
      </c>
      <c r="O439">
        <v>911</v>
      </c>
      <c r="P439">
        <v>7.8</v>
      </c>
      <c r="Q439">
        <v>5</v>
      </c>
      <c r="R439" s="7" t="str">
        <f>IF(AllDataApr[[#This Row],[Nitrate (PPM)]]&gt;2, "Very high", IF(AllDataApr[[#This Row],[Nitrate (PPM)]]&gt;1, "High", IF(AllDataApr[[#This Row],[Nitrate (PPM)]]&gt;0.5, "Some evidence", IF(AllDataApr[[#This Row],[Nitrate (PPM)]]&gt;0, "No evidence", IF(AllDataApr[[#This Row],[Nitrate (PPM)]]=0, "")))))</f>
        <v>Very high</v>
      </c>
      <c r="S439">
        <v>0.68</v>
      </c>
      <c r="T439" s="7" t="str">
        <f>IF(AllDataApr[[#This Row],[Phosphate (PPM)]]&gt;0.5, "Very high", IF(AllDataApr[[#This Row],[Phosphate (PPM)]]&gt;0.1, "High", IF(AllDataApr[[#This Row],[Phosphate (PPM)]]&gt;0.05, "Some evidence", IF(AllDataApr[[#This Row],[Phosphate (PPM)]]=0, ""))))</f>
        <v>Very high</v>
      </c>
      <c r="U439">
        <v>0.5</v>
      </c>
    </row>
    <row r="440" spans="1:22" x14ac:dyDescent="0.3">
      <c r="A440" t="s">
        <v>360</v>
      </c>
      <c r="B440" s="2">
        <v>45347</v>
      </c>
      <c r="C440" s="2" t="str" cm="1">
        <f t="array" ref="C44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40">
        <f>YEAR(AllDataApr[[#This Row],[Date]])</f>
        <v>2024</v>
      </c>
      <c r="E440" s="1">
        <v>0.71527777777777779</v>
      </c>
      <c r="F440" s="2" t="str">
        <f>IF(AND(AllDataApr[[#This Row],[Time]]&lt;0.5, AllDataApr[[#This Row],[Time]]&gt;0.17)=TRUE, "Morning", IF(AND(AllDataApr[[#This Row],[Time]]&lt;0.75, AllDataApr[[#This Row],[Time]]&gt;=0.5)=TRUE, "Afternoon", IF(AND(AllDataApr[[#This Row],[Time]]&lt;1, AllDataApr[[#This Row],[Time]]&gt;=0.75)=TRUE, "Evening", "Night")))</f>
        <v>Afternoon</v>
      </c>
      <c r="G440" t="s">
        <v>276</v>
      </c>
      <c r="H440" t="str">
        <f>_xlfn.XLOOKUP(AllDataApr[[#This Row],[Location Name]], Locations[Row Labels],Locations[Group As])</f>
        <v>Bell Brook 1</v>
      </c>
      <c r="I440" t="str">
        <f>_xlfn.XLOOKUP(AllDataApr[[#This Row],[Site Name]],LocationsKey[Site Name],LocationsKey[Region])</f>
        <v>Stratford</v>
      </c>
      <c r="J440" t="str">
        <f>_xlfn.XLOOKUP(AllDataApr[[#This Row],[Site Name]],LocationsKey[Site Name], LocationsKey[Waterway])</f>
        <v>Bell Brook</v>
      </c>
      <c r="K440" t="s">
        <v>279</v>
      </c>
      <c r="N440" t="s">
        <v>200</v>
      </c>
      <c r="O440">
        <v>595</v>
      </c>
      <c r="P440">
        <v>7.6</v>
      </c>
      <c r="Q440">
        <v>5</v>
      </c>
      <c r="R440" s="7" t="str">
        <f>IF(AllDataApr[[#This Row],[Nitrate (PPM)]]&gt;2, "Very high", IF(AllDataApr[[#This Row],[Nitrate (PPM)]]&gt;1, "High", IF(AllDataApr[[#This Row],[Nitrate (PPM)]]&gt;0.5, "Some evidence", IF(AllDataApr[[#This Row],[Nitrate (PPM)]]&gt;0, "No evidence", IF(AllDataApr[[#This Row],[Nitrate (PPM)]]=0, "")))))</f>
        <v>Very high</v>
      </c>
      <c r="S440">
        <v>1.07</v>
      </c>
      <c r="T440" s="7" t="str">
        <f>IF(AllDataApr[[#This Row],[Phosphate (PPM)]]&gt;0.5, "Very high", IF(AllDataApr[[#This Row],[Phosphate (PPM)]]&gt;0.1, "High", IF(AllDataApr[[#This Row],[Phosphate (PPM)]]&gt;0.05, "Some evidence", IF(AllDataApr[[#This Row],[Phosphate (PPM)]]=0, ""))))</f>
        <v>Very high</v>
      </c>
      <c r="U440">
        <v>0.5</v>
      </c>
    </row>
    <row r="441" spans="1:22" x14ac:dyDescent="0.3">
      <c r="A441" t="s">
        <v>477</v>
      </c>
      <c r="B441" s="2">
        <v>45347</v>
      </c>
      <c r="C441" s="2" t="str" cm="1">
        <f t="array" ref="C44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41">
        <f>YEAR(AllDataApr[[#This Row],[Date]])</f>
        <v>2024</v>
      </c>
      <c r="E441" s="1">
        <v>0.78125</v>
      </c>
      <c r="F441" s="2" t="str">
        <f>IF(AND(AllDataApr[[#This Row],[Time]]&lt;0.5, AllDataApr[[#This Row],[Time]]&gt;0.17)=TRUE, "Morning", IF(AND(AllDataApr[[#This Row],[Time]]&lt;0.75, AllDataApr[[#This Row],[Time]]&gt;=0.5)=TRUE, "Afternoon", IF(AND(AllDataApr[[#This Row],[Time]]&lt;1, AllDataApr[[#This Row],[Time]]&gt;=0.75)=TRUE, "Evening", "Night")))</f>
        <v>Evening</v>
      </c>
      <c r="G441" t="s">
        <v>199</v>
      </c>
      <c r="H441" t="str">
        <f>_xlfn.XLOOKUP(AllDataApr[[#This Row],[Location Name]], Locations[Row Labels],Locations[Group As])</f>
        <v>Stour Shipston Mill Bridge</v>
      </c>
      <c r="I441" t="str">
        <f>_xlfn.XLOOKUP(AllDataApr[[#This Row],[Site Name]],LocationsKey[Site Name],LocationsKey[Region])</f>
        <v>Shipston</v>
      </c>
      <c r="J441" t="str">
        <f>_xlfn.XLOOKUP(AllDataApr[[#This Row],[Site Name]],LocationsKey[Site Name], LocationsKey[Waterway])</f>
        <v>Stour</v>
      </c>
      <c r="K441" t="s">
        <v>165</v>
      </c>
      <c r="L441">
        <v>52.061956000000002</v>
      </c>
      <c r="M441">
        <v>-1.621896</v>
      </c>
      <c r="N441" t="s">
        <v>200</v>
      </c>
      <c r="O441">
        <v>586</v>
      </c>
      <c r="P441">
        <v>7.7</v>
      </c>
      <c r="Q441">
        <v>2</v>
      </c>
      <c r="R441" s="7" t="str">
        <f>IF(AllDataApr[[#This Row],[Nitrate (PPM)]]&gt;2, "Very high", IF(AllDataApr[[#This Row],[Nitrate (PPM)]]&gt;1, "High", IF(AllDataApr[[#This Row],[Nitrate (PPM)]]&gt;0.5, "Some evidence", IF(AllDataApr[[#This Row],[Nitrate (PPM)]]&gt;0, "No evidence", IF(AllDataApr[[#This Row],[Nitrate (PPM)]]=0, "")))))</f>
        <v>High</v>
      </c>
      <c r="S441">
        <v>0.24</v>
      </c>
      <c r="T441" s="7" t="str">
        <f>IF(AllDataApr[[#This Row],[Phosphate (PPM)]]&gt;0.5, "Very high", IF(AllDataApr[[#This Row],[Phosphate (PPM)]]&gt;0.1, "High", IF(AllDataApr[[#This Row],[Phosphate (PPM)]]&gt;0.05, "Some evidence", IF(AllDataApr[[#This Row],[Phosphate (PPM)]]=0, ""))))</f>
        <v>High</v>
      </c>
      <c r="U441">
        <v>1.5</v>
      </c>
    </row>
    <row r="442" spans="1:22" x14ac:dyDescent="0.3">
      <c r="A442" t="s">
        <v>475</v>
      </c>
      <c r="B442" s="2">
        <v>45348</v>
      </c>
      <c r="C442" s="2" t="str" cm="1">
        <f t="array" ref="C44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42">
        <f>YEAR(AllDataApr[[#This Row],[Date]])</f>
        <v>2024</v>
      </c>
      <c r="E442" s="1">
        <v>0.36458333333333331</v>
      </c>
      <c r="F442" s="2" t="str">
        <f>IF(AND(AllDataApr[[#This Row],[Time]]&lt;0.5, AllDataApr[[#This Row],[Time]]&gt;0.17)=TRUE, "Morning", IF(AND(AllDataApr[[#This Row],[Time]]&lt;0.75, AllDataApr[[#This Row],[Time]]&gt;=0.5)=TRUE, "Afternoon", IF(AND(AllDataApr[[#This Row],[Time]]&lt;1, AllDataApr[[#This Row],[Time]]&gt;=0.75)=TRUE, "Evening", "Night")))</f>
        <v>Morning</v>
      </c>
      <c r="G442" t="s">
        <v>150</v>
      </c>
      <c r="H442" t="str">
        <f>_xlfn.XLOOKUP(AllDataApr[[#This Row],[Location Name]], Locations[Row Labels],Locations[Group As])</f>
        <v>Stour Stretton-on-Fosse Village</v>
      </c>
      <c r="I442" t="str">
        <f>_xlfn.XLOOKUP(AllDataApr[[#This Row],[Site Name]],LocationsKey[Site Name],LocationsKey[Region])</f>
        <v>Shipston</v>
      </c>
      <c r="J442" t="str">
        <f>_xlfn.XLOOKUP(AllDataApr[[#This Row],[Site Name]],LocationsKey[Site Name], LocationsKey[Waterway])</f>
        <v>Stour</v>
      </c>
      <c r="K442" t="s">
        <v>198</v>
      </c>
      <c r="L442">
        <v>52.046529</v>
      </c>
      <c r="M442">
        <v>-1.6734070000000001</v>
      </c>
      <c r="N442" t="s">
        <v>42</v>
      </c>
      <c r="O442">
        <v>564</v>
      </c>
      <c r="P442">
        <v>6</v>
      </c>
      <c r="Q442">
        <v>2</v>
      </c>
      <c r="R442" s="7" t="str">
        <f>IF(AllDataApr[[#This Row],[Nitrate (PPM)]]&gt;2, "Very high", IF(AllDataApr[[#This Row],[Nitrate (PPM)]]&gt;1, "High", IF(AllDataApr[[#This Row],[Nitrate (PPM)]]&gt;0.5, "Some evidence", IF(AllDataApr[[#This Row],[Nitrate (PPM)]]&gt;0, "No evidence", IF(AllDataApr[[#This Row],[Nitrate (PPM)]]=0, "")))))</f>
        <v>High</v>
      </c>
      <c r="S442">
        <v>1.0900000000000001</v>
      </c>
      <c r="T442" s="7" t="str">
        <f>IF(AllDataApr[[#This Row],[Phosphate (PPM)]]&gt;0.5, "Very high", IF(AllDataApr[[#This Row],[Phosphate (PPM)]]&gt;0.1, "High", IF(AllDataApr[[#This Row],[Phosphate (PPM)]]&gt;0.05, "Some evidence", IF(AllDataApr[[#This Row],[Phosphate (PPM)]]=0, ""))))</f>
        <v>Very high</v>
      </c>
      <c r="U442">
        <v>0.15</v>
      </c>
    </row>
    <row r="443" spans="1:22" x14ac:dyDescent="0.3">
      <c r="A443" t="s">
        <v>476</v>
      </c>
      <c r="B443" s="2">
        <v>45348</v>
      </c>
      <c r="C443" s="2" t="str" cm="1">
        <f t="array" ref="C44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43">
        <f>YEAR(AllDataApr[[#This Row],[Date]])</f>
        <v>2024</v>
      </c>
      <c r="E443" s="1">
        <v>0.39166666666666666</v>
      </c>
      <c r="F443" s="2" t="str">
        <f>IF(AND(AllDataApr[[#This Row],[Time]]&lt;0.5, AllDataApr[[#This Row],[Time]]&gt;0.17)=TRUE, "Morning", IF(AND(AllDataApr[[#This Row],[Time]]&lt;0.75, AllDataApr[[#This Row],[Time]]&gt;=0.5)=TRUE, "Afternoon", IF(AND(AllDataApr[[#This Row],[Time]]&lt;1, AllDataApr[[#This Row],[Time]]&gt;=0.75)=TRUE, "Evening", "Night")))</f>
        <v>Morning</v>
      </c>
      <c r="G443" t="s">
        <v>150</v>
      </c>
      <c r="H443" t="str">
        <f>_xlfn.XLOOKUP(AllDataApr[[#This Row],[Location Name]], Locations[Row Labels],Locations[Group As])</f>
        <v>Stour Stretton-on-Fosse Sewage Works</v>
      </c>
      <c r="I443" t="str">
        <f>_xlfn.XLOOKUP(AllDataApr[[#This Row],[Site Name]],LocationsKey[Site Name],LocationsKey[Region])</f>
        <v>Shipston</v>
      </c>
      <c r="J443" t="str">
        <f>_xlfn.XLOOKUP(AllDataApr[[#This Row],[Site Name]],LocationsKey[Site Name], LocationsKey[Waterway])</f>
        <v>Stour</v>
      </c>
      <c r="K443" t="s">
        <v>151</v>
      </c>
      <c r="L443">
        <v>52.045724</v>
      </c>
      <c r="M443">
        <v>-1.6718580000000001</v>
      </c>
      <c r="N443" t="s">
        <v>18</v>
      </c>
      <c r="O443">
        <v>628</v>
      </c>
      <c r="P443">
        <v>6.5</v>
      </c>
      <c r="Q443">
        <v>3.5</v>
      </c>
      <c r="R443" s="7" t="str">
        <f>IF(AllDataApr[[#This Row],[Nitrate (PPM)]]&gt;2, "Very high", IF(AllDataApr[[#This Row],[Nitrate (PPM)]]&gt;1, "High", IF(AllDataApr[[#This Row],[Nitrate (PPM)]]&gt;0.5, "Some evidence", IF(AllDataApr[[#This Row],[Nitrate (PPM)]]&gt;0, "No evidence", IF(AllDataApr[[#This Row],[Nitrate (PPM)]]=0, "")))))</f>
        <v>Very high</v>
      </c>
      <c r="S443">
        <v>2.04</v>
      </c>
      <c r="T443" s="7" t="str">
        <f>IF(AllDataApr[[#This Row],[Phosphate (PPM)]]&gt;0.5, "Very high", IF(AllDataApr[[#This Row],[Phosphate (PPM)]]&gt;0.1, "High", IF(AllDataApr[[#This Row],[Phosphate (PPM)]]&gt;0.05, "Some evidence", IF(AllDataApr[[#This Row],[Phosphate (PPM)]]=0, ""))))</f>
        <v>Very high</v>
      </c>
      <c r="U443">
        <v>0.25</v>
      </c>
    </row>
    <row r="444" spans="1:22" x14ac:dyDescent="0.3">
      <c r="A444" t="s">
        <v>474</v>
      </c>
      <c r="B444" s="2">
        <v>45348</v>
      </c>
      <c r="C444" s="2" t="str" cm="1">
        <f t="array" ref="C44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44">
        <f>YEAR(AllDataApr[[#This Row],[Date]])</f>
        <v>2024</v>
      </c>
      <c r="E444" s="1">
        <v>0.69791666666666663</v>
      </c>
      <c r="F444" s="2" t="str">
        <f>IF(AND(AllDataApr[[#This Row],[Time]]&lt;0.5, AllDataApr[[#This Row],[Time]]&gt;0.17)=TRUE, "Morning", IF(AND(AllDataApr[[#This Row],[Time]]&lt;0.75, AllDataApr[[#This Row],[Time]]&gt;=0.5)=TRUE, "Afternoon", IF(AND(AllDataApr[[#This Row],[Time]]&lt;1, AllDataApr[[#This Row],[Time]]&gt;=0.75)=TRUE, "Evening", "Night")))</f>
        <v>Afternoon</v>
      </c>
      <c r="G444" t="s">
        <v>112</v>
      </c>
      <c r="H444" t="str">
        <f>_xlfn.XLOOKUP(AllDataApr[[#This Row],[Location Name]], Locations[Row Labels],Locations[Group As])</f>
        <v>Clifford Chambers Mill Bridge</v>
      </c>
      <c r="I444" t="str">
        <f>_xlfn.XLOOKUP(AllDataApr[[#This Row],[Site Name]],LocationsKey[Site Name],LocationsKey[Region])</f>
        <v>Stratford</v>
      </c>
      <c r="J444" t="str">
        <f>_xlfn.XLOOKUP(AllDataApr[[#This Row],[Site Name]],LocationsKey[Site Name], LocationsKey[Waterway])</f>
        <v>Stour</v>
      </c>
      <c r="K444" t="s">
        <v>282</v>
      </c>
      <c r="L444">
        <v>52.166370000000001</v>
      </c>
      <c r="M444">
        <v>-1.708032</v>
      </c>
      <c r="N444" t="s">
        <v>1047</v>
      </c>
      <c r="O444">
        <v>615</v>
      </c>
      <c r="P444">
        <v>8.6999999999999993</v>
      </c>
      <c r="Q444">
        <v>5</v>
      </c>
      <c r="R444" s="7" t="str">
        <f>IF(AllDataApr[[#This Row],[Nitrate (PPM)]]&gt;2, "Very high", IF(AllDataApr[[#This Row],[Nitrate (PPM)]]&gt;1, "High", IF(AllDataApr[[#This Row],[Nitrate (PPM)]]&gt;0.5, "Some evidence", IF(AllDataApr[[#This Row],[Nitrate (PPM)]]&gt;0, "No evidence", IF(AllDataApr[[#This Row],[Nitrate (PPM)]]=0, "")))))</f>
        <v>Very high</v>
      </c>
      <c r="S444">
        <v>0.21</v>
      </c>
      <c r="T444" s="7" t="str">
        <f>IF(AllDataApr[[#This Row],[Phosphate (PPM)]]&gt;0.5, "Very high", IF(AllDataApr[[#This Row],[Phosphate (PPM)]]&gt;0.1, "High", IF(AllDataApr[[#This Row],[Phosphate (PPM)]]&gt;0.05, "Some evidence", IF(AllDataApr[[#This Row],[Phosphate (PPM)]]=0, ""))))</f>
        <v>High</v>
      </c>
      <c r="U444">
        <v>1.25</v>
      </c>
      <c r="V444" t="s">
        <v>298</v>
      </c>
    </row>
    <row r="445" spans="1:22" x14ac:dyDescent="0.3">
      <c r="A445" t="s">
        <v>457</v>
      </c>
      <c r="B445" s="2">
        <v>45350</v>
      </c>
      <c r="C445" s="2" t="str" cm="1">
        <f t="array" ref="C44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45">
        <f>YEAR(AllDataApr[[#This Row],[Date]])</f>
        <v>2024</v>
      </c>
      <c r="E445" s="1">
        <v>0.6</v>
      </c>
      <c r="F445" s="2" t="str">
        <f>IF(AND(AllDataApr[[#This Row],[Time]]&lt;0.5, AllDataApr[[#This Row],[Time]]&gt;0.17)=TRUE, "Morning", IF(AND(AllDataApr[[#This Row],[Time]]&lt;0.75, AllDataApr[[#This Row],[Time]]&gt;=0.5)=TRUE, "Afternoon", IF(AND(AllDataApr[[#This Row],[Time]]&lt;1, AllDataApr[[#This Row],[Time]]&gt;=0.75)=TRUE, "Evening", "Night")))</f>
        <v>Afternoon</v>
      </c>
      <c r="G445" t="s">
        <v>139</v>
      </c>
      <c r="H445" t="str">
        <f>_xlfn.XLOOKUP(AllDataApr[[#This Row],[Location Name]], Locations[Row Labels],Locations[Group As])</f>
        <v>Alveston Weir</v>
      </c>
      <c r="I445" t="str">
        <f>_xlfn.XLOOKUP(AllDataApr[[#This Row],[Site Name]],LocationsKey[Site Name],LocationsKey[Region])</f>
        <v>Stratford</v>
      </c>
      <c r="J445" t="str">
        <f>_xlfn.XLOOKUP(AllDataApr[[#This Row],[Site Name]],LocationsKey[Site Name], LocationsKey[Waterway])</f>
        <v>Avon</v>
      </c>
      <c r="K445" t="s">
        <v>128</v>
      </c>
      <c r="L445">
        <v>52.214297999999999</v>
      </c>
      <c r="M445">
        <v>-1.660155</v>
      </c>
      <c r="N445" t="s">
        <v>18</v>
      </c>
      <c r="O445">
        <v>616</v>
      </c>
      <c r="P445">
        <v>9.1999999999999993</v>
      </c>
      <c r="Q445">
        <v>2</v>
      </c>
      <c r="R445" s="7" t="str">
        <f>IF(AllDataApr[[#This Row],[Nitrate (PPM)]]&gt;2, "Very high", IF(AllDataApr[[#This Row],[Nitrate (PPM)]]&gt;1, "High", IF(AllDataApr[[#This Row],[Nitrate (PPM)]]&gt;0.5, "Some evidence", IF(AllDataApr[[#This Row],[Nitrate (PPM)]]&gt;0, "No evidence", IF(AllDataApr[[#This Row],[Nitrate (PPM)]]=0, "")))))</f>
        <v>High</v>
      </c>
      <c r="S445">
        <v>0.4</v>
      </c>
      <c r="T445" s="7" t="str">
        <f>IF(AllDataApr[[#This Row],[Phosphate (PPM)]]&gt;0.5, "Very high", IF(AllDataApr[[#This Row],[Phosphate (PPM)]]&gt;0.1, "High", IF(AllDataApr[[#This Row],[Phosphate (PPM)]]&gt;0.05, "Some evidence", IF(AllDataApr[[#This Row],[Phosphate (PPM)]]=0, ""))))</f>
        <v>High</v>
      </c>
      <c r="U445">
        <v>0</v>
      </c>
      <c r="V445" t="s">
        <v>299</v>
      </c>
    </row>
    <row r="446" spans="1:22" x14ac:dyDescent="0.3">
      <c r="A446" t="s">
        <v>456</v>
      </c>
      <c r="B446" s="2">
        <v>45350</v>
      </c>
      <c r="C446" s="2" t="str" cm="1">
        <f t="array" ref="C44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46">
        <f>YEAR(AllDataApr[[#This Row],[Date]])</f>
        <v>2024</v>
      </c>
      <c r="E446" s="1">
        <v>0.60972222222222228</v>
      </c>
      <c r="F446" s="2" t="str">
        <f>IF(AND(AllDataApr[[#This Row],[Time]]&lt;0.5, AllDataApr[[#This Row],[Time]]&gt;0.17)=TRUE, "Morning", IF(AND(AllDataApr[[#This Row],[Time]]&lt;0.75, AllDataApr[[#This Row],[Time]]&gt;=0.5)=TRUE, "Afternoon", IF(AND(AllDataApr[[#This Row],[Time]]&lt;1, AllDataApr[[#This Row],[Time]]&gt;=0.75)=TRUE, "Evening", "Night")))</f>
        <v>Afternoon</v>
      </c>
      <c r="G446" t="s">
        <v>129</v>
      </c>
      <c r="H446" t="str">
        <f>_xlfn.XLOOKUP(AllDataApr[[#This Row],[Location Name]], Locations[Row Labels],Locations[Group As])</f>
        <v>Swiffen Bank</v>
      </c>
      <c r="I446" t="str">
        <f>_xlfn.XLOOKUP(AllDataApr[[#This Row],[Site Name]],LocationsKey[Site Name],LocationsKey[Region])</f>
        <v>Stratford</v>
      </c>
      <c r="J446" t="str">
        <f>_xlfn.XLOOKUP(AllDataApr[[#This Row],[Site Name]],LocationsKey[Site Name], LocationsKey[Waterway])</f>
        <v>Avon</v>
      </c>
      <c r="K446" t="s">
        <v>130</v>
      </c>
      <c r="L446">
        <v>52.206477999999997</v>
      </c>
      <c r="M446">
        <v>-1.653894</v>
      </c>
      <c r="N446" t="s">
        <v>18</v>
      </c>
      <c r="O446">
        <v>613</v>
      </c>
      <c r="P446">
        <v>10.4</v>
      </c>
      <c r="Q446">
        <v>5</v>
      </c>
      <c r="R446" s="7" t="str">
        <f>IF(AllDataApr[[#This Row],[Nitrate (PPM)]]&gt;2, "Very high", IF(AllDataApr[[#This Row],[Nitrate (PPM)]]&gt;1, "High", IF(AllDataApr[[#This Row],[Nitrate (PPM)]]&gt;0.5, "Some evidence", IF(AllDataApr[[#This Row],[Nitrate (PPM)]]&gt;0, "No evidence", IF(AllDataApr[[#This Row],[Nitrate (PPM)]]=0, "")))))</f>
        <v>Very high</v>
      </c>
      <c r="S446">
        <v>0.44</v>
      </c>
      <c r="T446" s="7" t="str">
        <f>IF(AllDataApr[[#This Row],[Phosphate (PPM)]]&gt;0.5, "Very high", IF(AllDataApr[[#This Row],[Phosphate (PPM)]]&gt;0.1, "High", IF(AllDataApr[[#This Row],[Phosphate (PPM)]]&gt;0.05, "Some evidence", IF(AllDataApr[[#This Row],[Phosphate (PPM)]]=0, ""))))</f>
        <v>High</v>
      </c>
      <c r="U446">
        <v>0.5</v>
      </c>
    </row>
    <row r="447" spans="1:22" x14ac:dyDescent="0.3">
      <c r="A447" t="s">
        <v>408</v>
      </c>
      <c r="B447" s="2">
        <v>45350</v>
      </c>
      <c r="C447" s="2" t="str" cm="1">
        <f t="array" ref="C44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47">
        <f>YEAR(AllDataApr[[#This Row],[Date]])</f>
        <v>2024</v>
      </c>
      <c r="E447" s="1">
        <v>0.70833333333333337</v>
      </c>
      <c r="F447" s="2" t="str">
        <f>IF(AND(AllDataApr[[#This Row],[Time]]&lt;0.5, AllDataApr[[#This Row],[Time]]&gt;0.17)=TRUE, "Morning", IF(AND(AllDataApr[[#This Row],[Time]]&lt;0.75, AllDataApr[[#This Row],[Time]]&gt;=0.5)=TRUE, "Afternoon", IF(AND(AllDataApr[[#This Row],[Time]]&lt;1, AllDataApr[[#This Row],[Time]]&gt;=0.75)=TRUE, "Evening", "Night")))</f>
        <v>Afternoon</v>
      </c>
      <c r="G447" t="s">
        <v>57</v>
      </c>
      <c r="H447" t="str">
        <f>_xlfn.XLOOKUP(AllDataApr[[#This Row],[Location Name]], Locations[Row Labels],Locations[Group As])</f>
        <v>Stour Newbold Mill</v>
      </c>
      <c r="I447" t="str">
        <f>_xlfn.XLOOKUP(AllDataApr[[#This Row],[Site Name]],LocationsKey[Site Name],LocationsKey[Region])</f>
        <v>Shipston</v>
      </c>
      <c r="J447" t="str">
        <f>_xlfn.XLOOKUP(AllDataApr[[#This Row],[Site Name]],LocationsKey[Site Name], LocationsKey[Waterway])</f>
        <v>Stour</v>
      </c>
      <c r="K447" t="s">
        <v>66</v>
      </c>
      <c r="L447">
        <v>52.112834999999997</v>
      </c>
      <c r="M447">
        <v>-1.633446</v>
      </c>
      <c r="N447" t="s">
        <v>18</v>
      </c>
      <c r="O447">
        <v>643</v>
      </c>
      <c r="P447">
        <v>13</v>
      </c>
      <c r="Q447">
        <v>5</v>
      </c>
      <c r="R447" s="7" t="str">
        <f>IF(AllDataApr[[#This Row],[Nitrate (PPM)]]&gt;2, "Very high", IF(AllDataApr[[#This Row],[Nitrate (PPM)]]&gt;1, "High", IF(AllDataApr[[#This Row],[Nitrate (PPM)]]&gt;0.5, "Some evidence", IF(AllDataApr[[#This Row],[Nitrate (PPM)]]&gt;0, "No evidence", IF(AllDataApr[[#This Row],[Nitrate (PPM)]]=0, "")))))</f>
        <v>Very high</v>
      </c>
      <c r="S447">
        <v>0.36</v>
      </c>
      <c r="T447" s="7" t="str">
        <f>IF(AllDataApr[[#This Row],[Phosphate (PPM)]]&gt;0.5, "Very high", IF(AllDataApr[[#This Row],[Phosphate (PPM)]]&gt;0.1, "High", IF(AllDataApr[[#This Row],[Phosphate (PPM)]]&gt;0.05, "Some evidence", IF(AllDataApr[[#This Row],[Phosphate (PPM)]]=0, ""))))</f>
        <v>High</v>
      </c>
      <c r="U447">
        <v>2.5</v>
      </c>
      <c r="V447" t="s">
        <v>986</v>
      </c>
    </row>
    <row r="448" spans="1:22" x14ac:dyDescent="0.3">
      <c r="A448" t="s">
        <v>448</v>
      </c>
      <c r="B448" s="2">
        <v>45351</v>
      </c>
      <c r="C448" s="2" t="str" cm="1">
        <f t="array" ref="C44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Winter</v>
      </c>
      <c r="D448">
        <f>YEAR(AllDataApr[[#This Row],[Date]])</f>
        <v>2024</v>
      </c>
      <c r="E448" s="1">
        <v>0.4375</v>
      </c>
      <c r="F448" s="2" t="str">
        <f>IF(AND(AllDataApr[[#This Row],[Time]]&lt;0.5, AllDataApr[[#This Row],[Time]]&gt;0.17)=TRUE, "Morning", IF(AND(AllDataApr[[#This Row],[Time]]&lt;0.75, AllDataApr[[#This Row],[Time]]&gt;=0.5)=TRUE, "Afternoon", IF(AND(AllDataApr[[#This Row],[Time]]&lt;1, AllDataApr[[#This Row],[Time]]&gt;=0.75)=TRUE, "Evening", "Night")))</f>
        <v>Morning</v>
      </c>
      <c r="G448" t="s">
        <v>46</v>
      </c>
      <c r="H448" t="str">
        <f>_xlfn.XLOOKUP(AllDataApr[[#This Row],[Location Name]], Locations[Row Labels],Locations[Group As])</f>
        <v>Swilgate</v>
      </c>
      <c r="I448" t="str">
        <f>_xlfn.XLOOKUP(AllDataApr[[#This Row],[Site Name]],LocationsKey[Site Name],LocationsKey[Region])</f>
        <v>Tewkesbury</v>
      </c>
      <c r="J448" t="str">
        <f>_xlfn.XLOOKUP(AllDataApr[[#This Row],[Site Name]],LocationsKey[Site Name], LocationsKey[Waterway])</f>
        <v>Swilgate</v>
      </c>
      <c r="K448" t="s">
        <v>47</v>
      </c>
      <c r="N448" t="s">
        <v>200</v>
      </c>
      <c r="O448">
        <v>709</v>
      </c>
      <c r="P448">
        <v>10.1</v>
      </c>
      <c r="Q448">
        <v>3</v>
      </c>
      <c r="R448" s="7" t="str">
        <f>IF(AllDataApr[[#This Row],[Nitrate (PPM)]]&gt;2, "Very high", IF(AllDataApr[[#This Row],[Nitrate (PPM)]]&gt;1, "High", IF(AllDataApr[[#This Row],[Nitrate (PPM)]]&gt;0.5, "Some evidence", IF(AllDataApr[[#This Row],[Nitrate (PPM)]]&gt;0, "No evidence", IF(AllDataApr[[#This Row],[Nitrate (PPM)]]=0, "")))))</f>
        <v>Very high</v>
      </c>
      <c r="S448">
        <v>0.47</v>
      </c>
      <c r="T448" s="7" t="str">
        <f>IF(AllDataApr[[#This Row],[Phosphate (PPM)]]&gt;0.5, "Very high", IF(AllDataApr[[#This Row],[Phosphate (PPM)]]&gt;0.1, "High", IF(AllDataApr[[#This Row],[Phosphate (PPM)]]&gt;0.05, "Some evidence", IF(AllDataApr[[#This Row],[Phosphate (PPM)]]=0, ""))))</f>
        <v>High</v>
      </c>
      <c r="U448">
        <v>2</v>
      </c>
    </row>
    <row r="449" spans="1:22" x14ac:dyDescent="0.3">
      <c r="A449" t="s">
        <v>453</v>
      </c>
      <c r="B449" s="2">
        <v>45352</v>
      </c>
      <c r="C449" s="2" t="str" cm="1">
        <f t="array" ref="C44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49">
        <f>YEAR(AllDataApr[[#This Row],[Date]])</f>
        <v>2024</v>
      </c>
      <c r="E449" s="1">
        <v>0.50277777777777777</v>
      </c>
      <c r="F449" s="2" t="str">
        <f>IF(AND(AllDataApr[[#This Row],[Time]]&lt;0.5, AllDataApr[[#This Row],[Time]]&gt;0.17)=TRUE, "Morning", IF(AND(AllDataApr[[#This Row],[Time]]&lt;0.75, AllDataApr[[#This Row],[Time]]&gt;=0.5)=TRUE, "Afternoon", IF(AND(AllDataApr[[#This Row],[Time]]&lt;1, AllDataApr[[#This Row],[Time]]&gt;=0.75)=TRUE, "Evening", "Night")))</f>
        <v>Afternoon</v>
      </c>
      <c r="G449" t="s">
        <v>903</v>
      </c>
      <c r="H449" t="str">
        <f>_xlfn.XLOOKUP(AllDataApr[[#This Row],[Location Name]], Locations[Row Labels],Locations[Group As])</f>
        <v>Walcot Lane, Bow Brook Ford</v>
      </c>
      <c r="I449" t="str">
        <f>_xlfn.XLOOKUP(AllDataApr[[#This Row],[Site Name]],LocationsKey[Site Name],LocationsKey[Region])</f>
        <v>Pershore</v>
      </c>
      <c r="J449" t="str">
        <f>_xlfn.XLOOKUP(AllDataApr[[#This Row],[Site Name]],LocationsKey[Site Name], LocationsKey[Waterway])</f>
        <v>Bow Brook</v>
      </c>
      <c r="K449" t="s">
        <v>915</v>
      </c>
      <c r="L449">
        <v>52.130479999999999</v>
      </c>
      <c r="M449">
        <v>-2.0785809999999998</v>
      </c>
      <c r="N449" t="s">
        <v>931</v>
      </c>
      <c r="O449">
        <v>693</v>
      </c>
      <c r="P449">
        <v>9.1</v>
      </c>
      <c r="Q449">
        <v>5</v>
      </c>
      <c r="R449" s="7" t="str">
        <f>IF(AllDataApr[[#This Row],[Nitrate (PPM)]]&gt;2, "Very high", IF(AllDataApr[[#This Row],[Nitrate (PPM)]]&gt;1, "High", IF(AllDataApr[[#This Row],[Nitrate (PPM)]]&gt;0.5, "Some evidence", IF(AllDataApr[[#This Row],[Nitrate (PPM)]]&gt;0, "No evidence", IF(AllDataApr[[#This Row],[Nitrate (PPM)]]=0, "")))))</f>
        <v>Very high</v>
      </c>
      <c r="S449">
        <v>0.7</v>
      </c>
      <c r="T449" s="7" t="str">
        <f>IF(AllDataApr[[#This Row],[Phosphate (PPM)]]&gt;0.5, "Very high", IF(AllDataApr[[#This Row],[Phosphate (PPM)]]&gt;0.1, "High", IF(AllDataApr[[#This Row],[Phosphate (PPM)]]&gt;0.05, "Some evidence", IF(AllDataApr[[#This Row],[Phosphate (PPM)]]=0, ""))))</f>
        <v>Very high</v>
      </c>
      <c r="U449">
        <v>0.9</v>
      </c>
      <c r="V449" t="s">
        <v>1006</v>
      </c>
    </row>
    <row r="450" spans="1:22" x14ac:dyDescent="0.3">
      <c r="A450" t="s">
        <v>454</v>
      </c>
      <c r="B450" s="2">
        <v>45352</v>
      </c>
      <c r="C450" s="2" t="str" cm="1">
        <f t="array" ref="C45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50">
        <f>YEAR(AllDataApr[[#This Row],[Date]])</f>
        <v>2024</v>
      </c>
      <c r="E450" s="1">
        <v>0.52569444444444446</v>
      </c>
      <c r="F450" s="2" t="str">
        <f>IF(AND(AllDataApr[[#This Row],[Time]]&lt;0.5, AllDataApr[[#This Row],[Time]]&gt;0.17)=TRUE, "Morning", IF(AND(AllDataApr[[#This Row],[Time]]&lt;0.75, AllDataApr[[#This Row],[Time]]&gt;=0.5)=TRUE, "Afternoon", IF(AND(AllDataApr[[#This Row],[Time]]&lt;1, AllDataApr[[#This Row],[Time]]&gt;=0.75)=TRUE, "Evening", "Night")))</f>
        <v>Afternoon</v>
      </c>
      <c r="G450" t="s">
        <v>59</v>
      </c>
      <c r="H450" t="str">
        <f>_xlfn.XLOOKUP(AllDataApr[[#This Row],[Location Name]], Locations[Row Labels],Locations[Group As])</f>
        <v>Preston-on-Stour River Bridge</v>
      </c>
      <c r="I450" t="str">
        <f>_xlfn.XLOOKUP(AllDataApr[[#This Row],[Site Name]],LocationsKey[Site Name],LocationsKey[Region])</f>
        <v>Stratford</v>
      </c>
      <c r="J450" t="str">
        <f>_xlfn.XLOOKUP(AllDataApr[[#This Row],[Site Name]],LocationsKey[Site Name], LocationsKey[Waterway])</f>
        <v>Stour</v>
      </c>
      <c r="K450" t="s">
        <v>78</v>
      </c>
      <c r="L450">
        <v>52.146528000000004</v>
      </c>
      <c r="M450">
        <v>-1.699854</v>
      </c>
      <c r="N450" t="s">
        <v>18</v>
      </c>
      <c r="O450">
        <v>623</v>
      </c>
      <c r="P450">
        <v>7.8</v>
      </c>
      <c r="Q450">
        <v>5</v>
      </c>
      <c r="R450" s="7" t="str">
        <f>IF(AllDataApr[[#This Row],[Nitrate (PPM)]]&gt;2, "Very high", IF(AllDataApr[[#This Row],[Nitrate (PPM)]]&gt;1, "High", IF(AllDataApr[[#This Row],[Nitrate (PPM)]]&gt;0.5, "Some evidence", IF(AllDataApr[[#This Row],[Nitrate (PPM)]]&gt;0, "No evidence", IF(AllDataApr[[#This Row],[Nitrate (PPM)]]=0, "")))))</f>
        <v>Very high</v>
      </c>
      <c r="S450">
        <v>0.32</v>
      </c>
      <c r="T450" s="7" t="str">
        <f>IF(AllDataApr[[#This Row],[Phosphate (PPM)]]&gt;0.5, "Very high", IF(AllDataApr[[#This Row],[Phosphate (PPM)]]&gt;0.1, "High", IF(AllDataApr[[#This Row],[Phosphate (PPM)]]&gt;0.05, "Some evidence", IF(AllDataApr[[#This Row],[Phosphate (PPM)]]=0, ""))))</f>
        <v>High</v>
      </c>
      <c r="U450">
        <v>1.5</v>
      </c>
    </row>
    <row r="451" spans="1:22" x14ac:dyDescent="0.3">
      <c r="A451" t="s">
        <v>452</v>
      </c>
      <c r="B451" s="2">
        <v>45352</v>
      </c>
      <c r="C451" s="2" t="str" cm="1">
        <f t="array" ref="C45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51">
        <f>YEAR(AllDataApr[[#This Row],[Date]])</f>
        <v>2024</v>
      </c>
      <c r="E451" s="1">
        <v>0.65277777777777779</v>
      </c>
      <c r="F451" s="2" t="str">
        <f>IF(AND(AllDataApr[[#This Row],[Time]]&lt;0.5, AllDataApr[[#This Row],[Time]]&gt;0.17)=TRUE, "Morning", IF(AND(AllDataApr[[#This Row],[Time]]&lt;0.75, AllDataApr[[#This Row],[Time]]&gt;=0.5)=TRUE, "Afternoon", IF(AND(AllDataApr[[#This Row],[Time]]&lt;1, AllDataApr[[#This Row],[Time]]&gt;=0.75)=TRUE, "Evening", "Night")))</f>
        <v>Afternoon</v>
      </c>
      <c r="G451" t="s">
        <v>906</v>
      </c>
      <c r="H451" t="str">
        <f>_xlfn.XLOOKUP(AllDataApr[[#This Row],[Location Name]], Locations[Row Labels],Locations[Group As])</f>
        <v>Preston Bagot Canal</v>
      </c>
      <c r="I451" t="str">
        <f>_xlfn.XLOOKUP(AllDataApr[[#This Row],[Site Name]],LocationsKey[Site Name],LocationsKey[Region])</f>
        <v>Henley-in-Arden</v>
      </c>
      <c r="J451" t="str">
        <f>_xlfn.XLOOKUP(AllDataApr[[#This Row],[Site Name]],LocationsKey[Site Name], LocationsKey[Waterway])</f>
        <v>Preston Bagot Canal</v>
      </c>
      <c r="K451" t="s">
        <v>922</v>
      </c>
      <c r="N451" t="s">
        <v>200</v>
      </c>
      <c r="O451">
        <v>295</v>
      </c>
      <c r="P451">
        <v>9.1</v>
      </c>
      <c r="Q451">
        <v>1.5</v>
      </c>
      <c r="R451" s="7" t="str">
        <f>IF(AllDataApr[[#This Row],[Nitrate (PPM)]]&gt;2, "Very high", IF(AllDataApr[[#This Row],[Nitrate (PPM)]]&gt;1, "High", IF(AllDataApr[[#This Row],[Nitrate (PPM)]]&gt;0.5, "Some evidence", IF(AllDataApr[[#This Row],[Nitrate (PPM)]]&gt;0, "No evidence", IF(AllDataApr[[#This Row],[Nitrate (PPM)]]=0, "")))))</f>
        <v>High</v>
      </c>
      <c r="S451">
        <v>0.51</v>
      </c>
      <c r="T451" s="7" t="str">
        <f>IF(AllDataApr[[#This Row],[Phosphate (PPM)]]&gt;0.5, "Very high", IF(AllDataApr[[#This Row],[Phosphate (PPM)]]&gt;0.1, "High", IF(AllDataApr[[#This Row],[Phosphate (PPM)]]&gt;0.05, "Some evidence", IF(AllDataApr[[#This Row],[Phosphate (PPM)]]=0, ""))))</f>
        <v>Very high</v>
      </c>
      <c r="U451">
        <v>0</v>
      </c>
      <c r="V451" t="s">
        <v>1005</v>
      </c>
    </row>
    <row r="452" spans="1:22" x14ac:dyDescent="0.3">
      <c r="A452" t="s">
        <v>451</v>
      </c>
      <c r="B452" s="2">
        <v>45352</v>
      </c>
      <c r="C452" s="2" t="str" cm="1">
        <f t="array" ref="C45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52">
        <f>YEAR(AllDataApr[[#This Row],[Date]])</f>
        <v>2024</v>
      </c>
      <c r="E452" s="1">
        <v>0.65972222222222221</v>
      </c>
      <c r="F452" s="2" t="str">
        <f>IF(AND(AllDataApr[[#This Row],[Time]]&lt;0.5, AllDataApr[[#This Row],[Time]]&gt;0.17)=TRUE, "Morning", IF(AND(AllDataApr[[#This Row],[Time]]&lt;0.75, AllDataApr[[#This Row],[Time]]&gt;=0.5)=TRUE, "Afternoon", IF(AND(AllDataApr[[#This Row],[Time]]&lt;1, AllDataApr[[#This Row],[Time]]&gt;=0.75)=TRUE, "Evening", "Night")))</f>
        <v>Afternoon</v>
      </c>
      <c r="G452" t="s">
        <v>906</v>
      </c>
      <c r="H452" t="str">
        <f>_xlfn.XLOOKUP(AllDataApr[[#This Row],[Location Name]], Locations[Row Labels],Locations[Group As])</f>
        <v>Preston Bagot Brook</v>
      </c>
      <c r="I452" t="str">
        <f>_xlfn.XLOOKUP(AllDataApr[[#This Row],[Site Name]],LocationsKey[Site Name],LocationsKey[Region])</f>
        <v>Henley-in-Arden</v>
      </c>
      <c r="J452" t="str">
        <f>_xlfn.XLOOKUP(AllDataApr[[#This Row],[Site Name]],LocationsKey[Site Name], LocationsKey[Waterway])</f>
        <v>Preston Bagot Brook</v>
      </c>
      <c r="K452" t="s">
        <v>921</v>
      </c>
      <c r="N452" t="s">
        <v>200</v>
      </c>
      <c r="O452">
        <v>457</v>
      </c>
      <c r="P452">
        <v>10.1</v>
      </c>
      <c r="Q452">
        <v>2</v>
      </c>
      <c r="R452" s="7" t="str">
        <f>IF(AllDataApr[[#This Row],[Nitrate (PPM)]]&gt;2, "Very high", IF(AllDataApr[[#This Row],[Nitrate (PPM)]]&gt;1, "High", IF(AllDataApr[[#This Row],[Nitrate (PPM)]]&gt;0.5, "Some evidence", IF(AllDataApr[[#This Row],[Nitrate (PPM)]]&gt;0, "No evidence", IF(AllDataApr[[#This Row],[Nitrate (PPM)]]=0, "")))))</f>
        <v>High</v>
      </c>
      <c r="S452">
        <v>0.61</v>
      </c>
      <c r="T452" s="7" t="str">
        <f>IF(AllDataApr[[#This Row],[Phosphate (PPM)]]&gt;0.5, "Very high", IF(AllDataApr[[#This Row],[Phosphate (PPM)]]&gt;0.1, "High", IF(AllDataApr[[#This Row],[Phosphate (PPM)]]&gt;0.05, "Some evidence", IF(AllDataApr[[#This Row],[Phosphate (PPM)]]=0, ""))))</f>
        <v>Very high</v>
      </c>
      <c r="U452">
        <v>0</v>
      </c>
      <c r="V452" t="s">
        <v>1005</v>
      </c>
    </row>
    <row r="453" spans="1:22" x14ac:dyDescent="0.3">
      <c r="A453" t="s">
        <v>442</v>
      </c>
      <c r="B453" s="2">
        <v>45353</v>
      </c>
      <c r="C453" s="2" t="str" cm="1">
        <f t="array" ref="C45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53">
        <f>YEAR(AllDataApr[[#This Row],[Date]])</f>
        <v>2024</v>
      </c>
      <c r="E453" s="1">
        <v>0.53888888888888886</v>
      </c>
      <c r="F453" s="2" t="str">
        <f>IF(AND(AllDataApr[[#This Row],[Time]]&lt;0.5, AllDataApr[[#This Row],[Time]]&gt;0.17)=TRUE, "Morning", IF(AND(AllDataApr[[#This Row],[Time]]&lt;0.75, AllDataApr[[#This Row],[Time]]&gt;=0.5)=TRUE, "Afternoon", IF(AND(AllDataApr[[#This Row],[Time]]&lt;1, AllDataApr[[#This Row],[Time]]&gt;=0.75)=TRUE, "Evening", "Night")))</f>
        <v>Afternoon</v>
      </c>
      <c r="G453" t="s">
        <v>220</v>
      </c>
      <c r="H453" t="str">
        <f>_xlfn.XLOOKUP(AllDataApr[[#This Row],[Location Name]], Locations[Row Labels],Locations[Group As])</f>
        <v>Stour Willington</v>
      </c>
      <c r="I453" t="str">
        <f>_xlfn.XLOOKUP(AllDataApr[[#This Row],[Site Name]],LocationsKey[Site Name],LocationsKey[Region])</f>
        <v>Shipston</v>
      </c>
      <c r="J453" t="str">
        <f>_xlfn.XLOOKUP(AllDataApr[[#This Row],[Site Name]],LocationsKey[Site Name], LocationsKey[Waterway])</f>
        <v>Stour</v>
      </c>
      <c r="K453" t="s">
        <v>197</v>
      </c>
      <c r="L453">
        <v>52.053559999999997</v>
      </c>
      <c r="M453">
        <v>-1.620152</v>
      </c>
      <c r="O453">
        <v>383</v>
      </c>
      <c r="P453">
        <v>8.6999999999999993</v>
      </c>
      <c r="Q453">
        <v>2</v>
      </c>
      <c r="R453" s="7" t="str">
        <f>IF(AllDataApr[[#This Row],[Nitrate (PPM)]]&gt;2, "Very high", IF(AllDataApr[[#This Row],[Nitrate (PPM)]]&gt;1, "High", IF(AllDataApr[[#This Row],[Nitrate (PPM)]]&gt;0.5, "Some evidence", IF(AllDataApr[[#This Row],[Nitrate (PPM)]]&gt;0, "No evidence", IF(AllDataApr[[#This Row],[Nitrate (PPM)]]=0, "")))))</f>
        <v>High</v>
      </c>
      <c r="S453">
        <v>0.22</v>
      </c>
      <c r="T453" s="7" t="str">
        <f>IF(AllDataApr[[#This Row],[Phosphate (PPM)]]&gt;0.5, "Very high", IF(AllDataApr[[#This Row],[Phosphate (PPM)]]&gt;0.1, "High", IF(AllDataApr[[#This Row],[Phosphate (PPM)]]&gt;0.05, "Some evidence", IF(AllDataApr[[#This Row],[Phosphate (PPM)]]=0, ""))))</f>
        <v>High</v>
      </c>
      <c r="U453">
        <v>1.5</v>
      </c>
      <c r="V453" t="s">
        <v>1001</v>
      </c>
    </row>
    <row r="454" spans="1:22" x14ac:dyDescent="0.3">
      <c r="A454" t="s">
        <v>450</v>
      </c>
      <c r="B454" s="2">
        <v>45353</v>
      </c>
      <c r="C454" s="2" t="str" cm="1">
        <f t="array" ref="C45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54">
        <f>YEAR(AllDataApr[[#This Row],[Date]])</f>
        <v>2024</v>
      </c>
      <c r="E454" s="1">
        <v>0.69930555555555551</v>
      </c>
      <c r="F454" s="2" t="str">
        <f>IF(AND(AllDataApr[[#This Row],[Time]]&lt;0.5, AllDataApr[[#This Row],[Time]]&gt;0.17)=TRUE, "Morning", IF(AND(AllDataApr[[#This Row],[Time]]&lt;0.75, AllDataApr[[#This Row],[Time]]&gt;=0.5)=TRUE, "Afternoon", IF(AND(AllDataApr[[#This Row],[Time]]&lt;1, AllDataApr[[#This Row],[Time]]&gt;=0.75)=TRUE, "Evening", "Night")))</f>
        <v>Afternoon</v>
      </c>
      <c r="G454" t="s">
        <v>904</v>
      </c>
      <c r="H454" t="str">
        <f>_xlfn.XLOOKUP(AllDataApr[[#This Row],[Location Name]], Locations[Row Labels],Locations[Group As])</f>
        <v>Avon Smiths Meadow Wyre Piddle</v>
      </c>
      <c r="I454" t="str">
        <f>_xlfn.XLOOKUP(AllDataApr[[#This Row],[Site Name]],LocationsKey[Site Name],LocationsKey[Region])</f>
        <v>Pershore</v>
      </c>
      <c r="J454" t="str">
        <f>_xlfn.XLOOKUP(AllDataApr[[#This Row],[Site Name]],LocationsKey[Site Name], LocationsKey[Waterway])</f>
        <v>Avon</v>
      </c>
      <c r="K454" t="s">
        <v>909</v>
      </c>
      <c r="L454">
        <v>52.122912999999997</v>
      </c>
      <c r="M454">
        <v>-2.0574750000000002</v>
      </c>
      <c r="N454" t="s">
        <v>200</v>
      </c>
      <c r="O454">
        <v>704</v>
      </c>
      <c r="P454">
        <v>7.4</v>
      </c>
      <c r="Q454">
        <v>5</v>
      </c>
      <c r="R454" s="7" t="str">
        <f>IF(AllDataApr[[#This Row],[Nitrate (PPM)]]&gt;2, "Very high", IF(AllDataApr[[#This Row],[Nitrate (PPM)]]&gt;1, "High", IF(AllDataApr[[#This Row],[Nitrate (PPM)]]&gt;0.5, "Some evidence", IF(AllDataApr[[#This Row],[Nitrate (PPM)]]&gt;0, "No evidence", IF(AllDataApr[[#This Row],[Nitrate (PPM)]]=0, "")))))</f>
        <v>Very high</v>
      </c>
      <c r="S454">
        <v>0.44</v>
      </c>
      <c r="T454" s="7" t="str">
        <f>IF(AllDataApr[[#This Row],[Phosphate (PPM)]]&gt;0.5, "Very high", IF(AllDataApr[[#This Row],[Phosphate (PPM)]]&gt;0.1, "High", IF(AllDataApr[[#This Row],[Phosphate (PPM)]]&gt;0.05, "Some evidence", IF(AllDataApr[[#This Row],[Phosphate (PPM)]]=0, ""))))</f>
        <v>High</v>
      </c>
      <c r="U454">
        <v>2</v>
      </c>
      <c r="V454" t="s">
        <v>1004</v>
      </c>
    </row>
    <row r="455" spans="1:22" x14ac:dyDescent="0.3">
      <c r="A455" t="s">
        <v>449</v>
      </c>
      <c r="B455" s="2">
        <v>45353</v>
      </c>
      <c r="C455" s="2" t="str" cm="1">
        <f t="array" ref="C45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55">
        <f>YEAR(AllDataApr[[#This Row],[Date]])</f>
        <v>2024</v>
      </c>
      <c r="E455" s="1">
        <v>0.73888888888888893</v>
      </c>
      <c r="F455" s="2" t="str">
        <f>IF(AND(AllDataApr[[#This Row],[Time]]&lt;0.5, AllDataApr[[#This Row],[Time]]&gt;0.17)=TRUE, "Morning", IF(AND(AllDataApr[[#This Row],[Time]]&lt;0.75, AllDataApr[[#This Row],[Time]]&gt;=0.5)=TRUE, "Afternoon", IF(AND(AllDataApr[[#This Row],[Time]]&lt;1, AllDataApr[[#This Row],[Time]]&gt;=0.75)=TRUE, "Evening", "Night")))</f>
        <v>Afternoon</v>
      </c>
      <c r="G455" t="s">
        <v>904</v>
      </c>
      <c r="H455" t="str">
        <f>_xlfn.XLOOKUP(AllDataApr[[#This Row],[Location Name]], Locations[Row Labels],Locations[Group As])</f>
        <v>Piddle Brook Wyre Piddle Bridge</v>
      </c>
      <c r="I455" t="str">
        <f>_xlfn.XLOOKUP(AllDataApr[[#This Row],[Site Name]],LocationsKey[Site Name],LocationsKey[Region])</f>
        <v>Pershore</v>
      </c>
      <c r="J455" t="str">
        <f>_xlfn.XLOOKUP(AllDataApr[[#This Row],[Site Name]],LocationsKey[Site Name], LocationsKey[Waterway])</f>
        <v>Piddle Brook</v>
      </c>
      <c r="K455" t="s">
        <v>908</v>
      </c>
      <c r="L455">
        <v>52.126317</v>
      </c>
      <c r="M455">
        <v>-2.0561219999999998</v>
      </c>
      <c r="N455" t="s">
        <v>200</v>
      </c>
      <c r="O455">
        <v>572</v>
      </c>
      <c r="P455">
        <v>5.9</v>
      </c>
      <c r="Q455">
        <v>2</v>
      </c>
      <c r="R455" s="7" t="str">
        <f>IF(AllDataApr[[#This Row],[Nitrate (PPM)]]&gt;2, "Very high", IF(AllDataApr[[#This Row],[Nitrate (PPM)]]&gt;1, "High", IF(AllDataApr[[#This Row],[Nitrate (PPM)]]&gt;0.5, "Some evidence", IF(AllDataApr[[#This Row],[Nitrate (PPM)]]&gt;0, "No evidence", IF(AllDataApr[[#This Row],[Nitrate (PPM)]]=0, "")))))</f>
        <v>High</v>
      </c>
      <c r="S455">
        <v>1.36</v>
      </c>
      <c r="T455" s="7" t="str">
        <f>IF(AllDataApr[[#This Row],[Phosphate (PPM)]]&gt;0.5, "Very high", IF(AllDataApr[[#This Row],[Phosphate (PPM)]]&gt;0.1, "High", IF(AllDataApr[[#This Row],[Phosphate (PPM)]]&gt;0.05, "Some evidence", IF(AllDataApr[[#This Row],[Phosphate (PPM)]]=0, ""))))</f>
        <v>Very high</v>
      </c>
      <c r="U455">
        <v>0.95</v>
      </c>
      <c r="V455" t="s">
        <v>1003</v>
      </c>
    </row>
    <row r="456" spans="1:22" x14ac:dyDescent="0.3">
      <c r="A456" t="s">
        <v>443</v>
      </c>
      <c r="B456" s="2">
        <v>45354</v>
      </c>
      <c r="C456" s="2" t="str" cm="1">
        <f t="array" ref="C45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56">
        <f>YEAR(AllDataApr[[#This Row],[Date]])</f>
        <v>2024</v>
      </c>
      <c r="E456" s="1">
        <v>0.46180555555555558</v>
      </c>
      <c r="F456" s="2" t="str">
        <f>IF(AND(AllDataApr[[#This Row],[Time]]&lt;0.5, AllDataApr[[#This Row],[Time]]&gt;0.17)=TRUE, "Morning", IF(AND(AllDataApr[[#This Row],[Time]]&lt;0.75, AllDataApr[[#This Row],[Time]]&gt;=0.5)=TRUE, "Afternoon", IF(AND(AllDataApr[[#This Row],[Time]]&lt;1, AllDataApr[[#This Row],[Time]]&gt;=0.75)=TRUE, "Evening", "Night")))</f>
        <v>Morning</v>
      </c>
      <c r="G456" t="s">
        <v>224</v>
      </c>
      <c r="H456" t="str">
        <f>_xlfn.XLOOKUP(AllDataApr[[#This Row],[Location Name]], Locations[Row Labels],Locations[Group As])</f>
        <v>The Ford, Langley</v>
      </c>
      <c r="I456" t="str">
        <f>_xlfn.XLOOKUP(AllDataApr[[#This Row],[Site Name]],LocationsKey[Site Name],LocationsKey[Region])</f>
        <v>Henley-in-Arden</v>
      </c>
      <c r="J456" t="str">
        <f>_xlfn.XLOOKUP(AllDataApr[[#This Row],[Site Name]],LocationsKey[Site Name], LocationsKey[Waterway])</f>
        <v>Langley Ford</v>
      </c>
      <c r="K456" t="s">
        <v>230</v>
      </c>
      <c r="L456">
        <v>52.259639</v>
      </c>
      <c r="M456">
        <v>-1.7181999999999999</v>
      </c>
      <c r="N456" t="s">
        <v>18</v>
      </c>
      <c r="O456">
        <v>445</v>
      </c>
      <c r="P456">
        <v>8.1</v>
      </c>
      <c r="Q456">
        <v>4</v>
      </c>
      <c r="R456" s="7" t="str">
        <f>IF(AllDataApr[[#This Row],[Nitrate (PPM)]]&gt;2, "Very high", IF(AllDataApr[[#This Row],[Nitrate (PPM)]]&gt;1, "High", IF(AllDataApr[[#This Row],[Nitrate (PPM)]]&gt;0.5, "Some evidence", IF(AllDataApr[[#This Row],[Nitrate (PPM)]]&gt;0, "No evidence", IF(AllDataApr[[#This Row],[Nitrate (PPM)]]=0, "")))))</f>
        <v>Very high</v>
      </c>
      <c r="S456">
        <v>0.55000000000000004</v>
      </c>
      <c r="T456" s="7" t="str">
        <f>IF(AllDataApr[[#This Row],[Phosphate (PPM)]]&gt;0.5, "Very high", IF(AllDataApr[[#This Row],[Phosphate (PPM)]]&gt;0.1, "High", IF(AllDataApr[[#This Row],[Phosphate (PPM)]]&gt;0.05, "Some evidence", IF(AllDataApr[[#This Row],[Phosphate (PPM)]]=0, ""))))</f>
        <v>Very high</v>
      </c>
      <c r="U456">
        <v>0.46</v>
      </c>
    </row>
    <row r="457" spans="1:22" x14ac:dyDescent="0.3">
      <c r="A457" t="s">
        <v>426</v>
      </c>
      <c r="B457" s="2">
        <v>45354</v>
      </c>
      <c r="C457" s="2" t="str" cm="1">
        <f t="array" ref="C45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57">
        <f>YEAR(AllDataApr[[#This Row],[Date]])</f>
        <v>2024</v>
      </c>
      <c r="E457" s="1">
        <v>0.47916666666666669</v>
      </c>
      <c r="F457" s="2" t="str">
        <f>IF(AND(AllDataApr[[#This Row],[Time]]&lt;0.5, AllDataApr[[#This Row],[Time]]&gt;0.17)=TRUE, "Morning", IF(AND(AllDataApr[[#This Row],[Time]]&lt;0.75, AllDataApr[[#This Row],[Time]]&gt;=0.5)=TRUE, "Afternoon", IF(AND(AllDataApr[[#This Row],[Time]]&lt;1, AllDataApr[[#This Row],[Time]]&gt;=0.75)=TRUE, "Evening", "Night")))</f>
        <v>Morning</v>
      </c>
      <c r="G457" t="s">
        <v>52</v>
      </c>
      <c r="H457" t="str">
        <f>_xlfn.XLOOKUP(AllDataApr[[#This Row],[Location Name]], Locations[Row Labels],Locations[Group As])</f>
        <v>Carrant Bredon Rd</v>
      </c>
      <c r="I457" t="str">
        <f>_xlfn.XLOOKUP(AllDataApr[[#This Row],[Site Name]],LocationsKey[Site Name],LocationsKey[Region])</f>
        <v>Tewkesbury</v>
      </c>
      <c r="J457" t="str">
        <f>_xlfn.XLOOKUP(AllDataApr[[#This Row],[Site Name]],LocationsKey[Site Name], LocationsKey[Waterway])</f>
        <v>Carrant</v>
      </c>
      <c r="K457" t="s">
        <v>179</v>
      </c>
      <c r="L457">
        <v>51.996478000000003</v>
      </c>
      <c r="M457">
        <v>-2.155986</v>
      </c>
      <c r="N457" t="s">
        <v>200</v>
      </c>
      <c r="O457">
        <v>629</v>
      </c>
      <c r="P457">
        <v>7.8</v>
      </c>
      <c r="Q457">
        <v>4</v>
      </c>
      <c r="R457" s="7" t="str">
        <f>IF(AllDataApr[[#This Row],[Nitrate (PPM)]]&gt;2, "Very high", IF(AllDataApr[[#This Row],[Nitrate (PPM)]]&gt;1, "High", IF(AllDataApr[[#This Row],[Nitrate (PPM)]]&gt;0.5, "Some evidence", IF(AllDataApr[[#This Row],[Nitrate (PPM)]]&gt;0, "No evidence", IF(AllDataApr[[#This Row],[Nitrate (PPM)]]=0, "")))))</f>
        <v>Very high</v>
      </c>
      <c r="S457">
        <v>0.31</v>
      </c>
      <c r="T457" s="7" t="str">
        <f>IF(AllDataApr[[#This Row],[Phosphate (PPM)]]&gt;0.5, "Very high", IF(AllDataApr[[#This Row],[Phosphate (PPM)]]&gt;0.1, "High", IF(AllDataApr[[#This Row],[Phosphate (PPM)]]&gt;0.05, "Some evidence", IF(AllDataApr[[#This Row],[Phosphate (PPM)]]=0, ""))))</f>
        <v>High</v>
      </c>
      <c r="U457">
        <v>1.07</v>
      </c>
      <c r="V457" t="s">
        <v>994</v>
      </c>
    </row>
    <row r="458" spans="1:22" x14ac:dyDescent="0.3">
      <c r="A458" t="s">
        <v>446</v>
      </c>
      <c r="B458" s="2">
        <v>45354</v>
      </c>
      <c r="C458" s="2" t="str" cm="1">
        <f t="array" ref="C45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58">
        <f>YEAR(AllDataApr[[#This Row],[Date]])</f>
        <v>2024</v>
      </c>
      <c r="E458" s="1">
        <v>0.49305555555555558</v>
      </c>
      <c r="F458" s="2" t="str">
        <f>IF(AND(AllDataApr[[#This Row],[Time]]&lt;0.5, AllDataApr[[#This Row],[Time]]&gt;0.17)=TRUE, "Morning", IF(AND(AllDataApr[[#This Row],[Time]]&lt;0.75, AllDataApr[[#This Row],[Time]]&gt;=0.5)=TRUE, "Afternoon", IF(AND(AllDataApr[[#This Row],[Time]]&lt;1, AllDataApr[[#This Row],[Time]]&gt;=0.75)=TRUE, "Evening", "Night")))</f>
        <v>Morning</v>
      </c>
      <c r="G458" t="s">
        <v>278</v>
      </c>
      <c r="H458" t="str">
        <f>_xlfn.XLOOKUP(AllDataApr[[#This Row],[Location Name]], Locations[Row Labels],Locations[Group As])</f>
        <v>Avonbank Drive</v>
      </c>
      <c r="I458" t="str">
        <f>_xlfn.XLOOKUP(AllDataApr[[#This Row],[Site Name]],LocationsKey[Site Name],LocationsKey[Region])</f>
        <v>Stratford</v>
      </c>
      <c r="J458" t="str">
        <f>_xlfn.XLOOKUP(AllDataApr[[#This Row],[Site Name]],LocationsKey[Site Name], LocationsKey[Waterway])</f>
        <v>Avon</v>
      </c>
      <c r="K458" t="s">
        <v>71</v>
      </c>
      <c r="N458" t="s">
        <v>42</v>
      </c>
      <c r="O458">
        <v>675</v>
      </c>
      <c r="P458">
        <v>15.7</v>
      </c>
      <c r="Q458">
        <v>5</v>
      </c>
      <c r="R458" s="7" t="str">
        <f>IF(AllDataApr[[#This Row],[Nitrate (PPM)]]&gt;2, "Very high", IF(AllDataApr[[#This Row],[Nitrate (PPM)]]&gt;1, "High", IF(AllDataApr[[#This Row],[Nitrate (PPM)]]&gt;0.5, "Some evidence", IF(AllDataApr[[#This Row],[Nitrate (PPM)]]&gt;0, "No evidence", IF(AllDataApr[[#This Row],[Nitrate (PPM)]]=0, "")))))</f>
        <v>Very high</v>
      </c>
      <c r="S458">
        <v>0.48</v>
      </c>
      <c r="T458" s="7" t="str">
        <f>IF(AllDataApr[[#This Row],[Phosphate (PPM)]]&gt;0.5, "Very high", IF(AllDataApr[[#This Row],[Phosphate (PPM)]]&gt;0.1, "High", IF(AllDataApr[[#This Row],[Phosphate (PPM)]]&gt;0.05, "Some evidence", IF(AllDataApr[[#This Row],[Phosphate (PPM)]]=0, ""))))</f>
        <v>High</v>
      </c>
      <c r="U458">
        <v>0.8</v>
      </c>
    </row>
    <row r="459" spans="1:22" x14ac:dyDescent="0.3">
      <c r="A459" t="s">
        <v>447</v>
      </c>
      <c r="B459" s="2">
        <v>45354</v>
      </c>
      <c r="C459" s="2" t="str" cm="1">
        <f t="array" ref="C45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59">
        <f>YEAR(AllDataApr[[#This Row],[Date]])</f>
        <v>2024</v>
      </c>
      <c r="E459" s="1">
        <v>0.49305555555555558</v>
      </c>
      <c r="F459" s="2" t="str">
        <f>IF(AND(AllDataApr[[#This Row],[Time]]&lt;0.5, AllDataApr[[#This Row],[Time]]&gt;0.17)=TRUE, "Morning", IF(AND(AllDataApr[[#This Row],[Time]]&lt;0.75, AllDataApr[[#This Row],[Time]]&gt;=0.5)=TRUE, "Afternoon", IF(AND(AllDataApr[[#This Row],[Time]]&lt;1, AllDataApr[[#This Row],[Time]]&gt;=0.75)=TRUE, "Evening", "Night")))</f>
        <v>Morning</v>
      </c>
      <c r="G459" t="s">
        <v>278</v>
      </c>
      <c r="H459" t="str">
        <f>_xlfn.XLOOKUP(AllDataApr[[#This Row],[Location Name]], Locations[Row Labels],Locations[Group As])</f>
        <v>Pitch 16</v>
      </c>
      <c r="I459" t="str">
        <f>_xlfn.XLOOKUP(AllDataApr[[#This Row],[Site Name]],LocationsKey[Site Name],LocationsKey[Region])</f>
        <v>Stratford</v>
      </c>
      <c r="J459" t="str">
        <f>_xlfn.XLOOKUP(AllDataApr[[#This Row],[Site Name]],LocationsKey[Site Name], LocationsKey[Waterway])</f>
        <v>Avon</v>
      </c>
      <c r="K459" t="s">
        <v>39</v>
      </c>
      <c r="N459" t="s">
        <v>18</v>
      </c>
      <c r="O459">
        <v>635</v>
      </c>
      <c r="P459">
        <v>15.8</v>
      </c>
      <c r="Q459">
        <v>5</v>
      </c>
      <c r="R459" s="7" t="str">
        <f>IF(AllDataApr[[#This Row],[Nitrate (PPM)]]&gt;2, "Very high", IF(AllDataApr[[#This Row],[Nitrate (PPM)]]&gt;1, "High", IF(AllDataApr[[#This Row],[Nitrate (PPM)]]&gt;0.5, "Some evidence", IF(AllDataApr[[#This Row],[Nitrate (PPM)]]&gt;0, "No evidence", IF(AllDataApr[[#This Row],[Nitrate (PPM)]]=0, "")))))</f>
        <v>Very high</v>
      </c>
      <c r="S459">
        <v>0.35</v>
      </c>
      <c r="T459" s="7" t="str">
        <f>IF(AllDataApr[[#This Row],[Phosphate (PPM)]]&gt;0.5, "Very high", IF(AllDataApr[[#This Row],[Phosphate (PPM)]]&gt;0.1, "High", IF(AllDataApr[[#This Row],[Phosphate (PPM)]]&gt;0.05, "Some evidence", IF(AllDataApr[[#This Row],[Phosphate (PPM)]]=0, ""))))</f>
        <v>High</v>
      </c>
      <c r="U459">
        <v>0.8</v>
      </c>
    </row>
    <row r="460" spans="1:22" x14ac:dyDescent="0.3">
      <c r="A460" t="s">
        <v>445</v>
      </c>
      <c r="B460" s="2">
        <v>45354</v>
      </c>
      <c r="C460" s="2" t="str" cm="1">
        <f t="array" ref="C46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60">
        <f>YEAR(AllDataApr[[#This Row],[Date]])</f>
        <v>2024</v>
      </c>
      <c r="E460" s="1">
        <v>0.58958333333333335</v>
      </c>
      <c r="F460" s="2" t="str">
        <f>IF(AND(AllDataApr[[#This Row],[Time]]&lt;0.5, AllDataApr[[#This Row],[Time]]&gt;0.17)=TRUE, "Morning", IF(AND(AllDataApr[[#This Row],[Time]]&lt;0.75, AllDataApr[[#This Row],[Time]]&gt;=0.5)=TRUE, "Afternoon", IF(AND(AllDataApr[[#This Row],[Time]]&lt;1, AllDataApr[[#This Row],[Time]]&gt;=0.75)=TRUE, "Evening", "Night")))</f>
        <v>Afternoon</v>
      </c>
      <c r="G460" t="s">
        <v>11</v>
      </c>
      <c r="H460" t="str">
        <f>_xlfn.XLOOKUP(AllDataApr[[#This Row],[Location Name]], Locations[Row Labels],Locations[Group As])</f>
        <v>Black Bear</v>
      </c>
      <c r="I460" t="str">
        <f>_xlfn.XLOOKUP(AllDataApr[[#This Row],[Site Name]],LocationsKey[Site Name],LocationsKey[Region])</f>
        <v>Tewkesbury</v>
      </c>
      <c r="J460" t="str">
        <f>_xlfn.XLOOKUP(AllDataApr[[#This Row],[Site Name]],LocationsKey[Site Name], LocationsKey[Waterway])</f>
        <v>Avon</v>
      </c>
      <c r="K460" t="s">
        <v>231</v>
      </c>
      <c r="L460">
        <v>51.997301</v>
      </c>
      <c r="M460">
        <v>-2.1562589999999999</v>
      </c>
      <c r="N460" t="s">
        <v>200</v>
      </c>
      <c r="O460">
        <v>642</v>
      </c>
      <c r="P460">
        <v>9.4</v>
      </c>
      <c r="Q460">
        <v>5</v>
      </c>
      <c r="R460" s="7" t="str">
        <f>IF(AllDataApr[[#This Row],[Nitrate (PPM)]]&gt;2, "Very high", IF(AllDataApr[[#This Row],[Nitrate (PPM)]]&gt;1, "High", IF(AllDataApr[[#This Row],[Nitrate (PPM)]]&gt;0.5, "Some evidence", IF(AllDataApr[[#This Row],[Nitrate (PPM)]]&gt;0, "No evidence", IF(AllDataApr[[#This Row],[Nitrate (PPM)]]=0, "")))))</f>
        <v>Very high</v>
      </c>
      <c r="S460">
        <v>0.59</v>
      </c>
      <c r="T460" s="7" t="str">
        <f>IF(AllDataApr[[#This Row],[Phosphate (PPM)]]&gt;0.5, "Very high", IF(AllDataApr[[#This Row],[Phosphate (PPM)]]&gt;0.1, "High", IF(AllDataApr[[#This Row],[Phosphate (PPM)]]&gt;0.05, "Some evidence", IF(AllDataApr[[#This Row],[Phosphate (PPM)]]=0, ""))))</f>
        <v>Very high</v>
      </c>
      <c r="U460">
        <v>1.5</v>
      </c>
    </row>
    <row r="461" spans="1:22" x14ac:dyDescent="0.3">
      <c r="A461" t="s">
        <v>444</v>
      </c>
      <c r="B461" s="2">
        <v>45354</v>
      </c>
      <c r="C461" s="2" t="str" cm="1">
        <f t="array" ref="C46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61">
        <f>YEAR(AllDataApr[[#This Row],[Date]])</f>
        <v>2024</v>
      </c>
      <c r="E461" s="1">
        <v>0.60416666666666663</v>
      </c>
      <c r="F461" s="2" t="str">
        <f>IF(AND(AllDataApr[[#This Row],[Time]]&lt;0.5, AllDataApr[[#This Row],[Time]]&gt;0.17)=TRUE, "Morning", IF(AND(AllDataApr[[#This Row],[Time]]&lt;0.75, AllDataApr[[#This Row],[Time]]&gt;=0.5)=TRUE, "Afternoon", IF(AND(AllDataApr[[#This Row],[Time]]&lt;1, AllDataApr[[#This Row],[Time]]&gt;=0.75)=TRUE, "Evening", "Night")))</f>
        <v>Afternoon</v>
      </c>
      <c r="G461" t="s">
        <v>112</v>
      </c>
      <c r="H461" t="str">
        <f>_xlfn.XLOOKUP(AllDataApr[[#This Row],[Location Name]], Locations[Row Labels],Locations[Group As])</f>
        <v>Clifford Chambers Mill Bridge</v>
      </c>
      <c r="I461" t="str">
        <f>_xlfn.XLOOKUP(AllDataApr[[#This Row],[Site Name]],LocationsKey[Site Name],LocationsKey[Region])</f>
        <v>Stratford</v>
      </c>
      <c r="J461" t="str">
        <f>_xlfn.XLOOKUP(AllDataApr[[#This Row],[Site Name]],LocationsKey[Site Name], LocationsKey[Waterway])</f>
        <v>Stour</v>
      </c>
      <c r="K461" t="s">
        <v>119</v>
      </c>
      <c r="L461">
        <v>52.166370000000001</v>
      </c>
      <c r="M461">
        <v>-1.708032</v>
      </c>
      <c r="N461" t="s">
        <v>1047</v>
      </c>
      <c r="O461">
        <v>460</v>
      </c>
      <c r="P461">
        <v>12.8</v>
      </c>
      <c r="Q461">
        <v>3</v>
      </c>
      <c r="R461" s="7" t="str">
        <f>IF(AllDataApr[[#This Row],[Nitrate (PPM)]]&gt;2, "Very high", IF(AllDataApr[[#This Row],[Nitrate (PPM)]]&gt;1, "High", IF(AllDataApr[[#This Row],[Nitrate (PPM)]]&gt;0.5, "Some evidence", IF(AllDataApr[[#This Row],[Nitrate (PPM)]]&gt;0, "No evidence", IF(AllDataApr[[#This Row],[Nitrate (PPM)]]=0, "")))))</f>
        <v>Very high</v>
      </c>
      <c r="S461">
        <v>0.27</v>
      </c>
      <c r="T461" s="7" t="str">
        <f>IF(AllDataApr[[#This Row],[Phosphate (PPM)]]&gt;0.5, "Very high", IF(AllDataApr[[#This Row],[Phosphate (PPM)]]&gt;0.1, "High", IF(AllDataApr[[#This Row],[Phosphate (PPM)]]&gt;0.05, "Some evidence", IF(AllDataApr[[#This Row],[Phosphate (PPM)]]=0, ""))))</f>
        <v>High</v>
      </c>
      <c r="U461">
        <v>1.4</v>
      </c>
      <c r="V461" t="s">
        <v>1002</v>
      </c>
    </row>
    <row r="462" spans="1:22" x14ac:dyDescent="0.3">
      <c r="A462" t="s">
        <v>359</v>
      </c>
      <c r="B462" s="2">
        <v>45354</v>
      </c>
      <c r="C462" s="2" t="str" cm="1">
        <f t="array" ref="C46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62">
        <f>YEAR(AllDataApr[[#This Row],[Date]])</f>
        <v>2024</v>
      </c>
      <c r="E462" s="1">
        <v>0.625</v>
      </c>
      <c r="F462" s="2" t="str">
        <f>IF(AND(AllDataApr[[#This Row],[Time]]&lt;0.5, AllDataApr[[#This Row],[Time]]&gt;0.17)=TRUE, "Morning", IF(AND(AllDataApr[[#This Row],[Time]]&lt;0.75, AllDataApr[[#This Row],[Time]]&gt;=0.5)=TRUE, "Afternoon", IF(AND(AllDataApr[[#This Row],[Time]]&lt;1, AllDataApr[[#This Row],[Time]]&gt;=0.75)=TRUE, "Evening", "Night")))</f>
        <v>Afternoon</v>
      </c>
      <c r="G462" t="s">
        <v>275</v>
      </c>
      <c r="H462" t="str">
        <f>_xlfn.XLOOKUP(AllDataApr[[#This Row],[Location Name]], Locations[Row Labels],Locations[Group As])</f>
        <v>Sherbourne Brook 1</v>
      </c>
      <c r="I462" t="str">
        <f>_xlfn.XLOOKUP(AllDataApr[[#This Row],[Site Name]],LocationsKey[Site Name],LocationsKey[Region])</f>
        <v>Stratford</v>
      </c>
      <c r="J462" t="str">
        <f>_xlfn.XLOOKUP(AllDataApr[[#This Row],[Site Name]],LocationsKey[Site Name], LocationsKey[Waterway])</f>
        <v>Sherbourne Brook</v>
      </c>
      <c r="K462" t="s">
        <v>280</v>
      </c>
      <c r="N462" t="s">
        <v>200</v>
      </c>
      <c r="O462">
        <v>759</v>
      </c>
      <c r="P462">
        <v>8.6999999999999993</v>
      </c>
      <c r="Q462">
        <v>5</v>
      </c>
      <c r="R462" s="7" t="str">
        <f>IF(AllDataApr[[#This Row],[Nitrate (PPM)]]&gt;2, "Very high", IF(AllDataApr[[#This Row],[Nitrate (PPM)]]&gt;1, "High", IF(AllDataApr[[#This Row],[Nitrate (PPM)]]&gt;0.5, "Some evidence", IF(AllDataApr[[#This Row],[Nitrate (PPM)]]&gt;0, "No evidence", IF(AllDataApr[[#This Row],[Nitrate (PPM)]]=0, "")))))</f>
        <v>Very high</v>
      </c>
      <c r="S462">
        <v>0.57999999999999996</v>
      </c>
      <c r="T462" s="7" t="str">
        <f>IF(AllDataApr[[#This Row],[Phosphate (PPM)]]&gt;0.5, "Very high", IF(AllDataApr[[#This Row],[Phosphate (PPM)]]&gt;0.1, "High", IF(AllDataApr[[#This Row],[Phosphate (PPM)]]&gt;0.05, "Some evidence", IF(AllDataApr[[#This Row],[Phosphate (PPM)]]=0, ""))))</f>
        <v>Very high</v>
      </c>
      <c r="U462">
        <v>0.5</v>
      </c>
      <c r="V462" t="s">
        <v>283</v>
      </c>
    </row>
    <row r="463" spans="1:22" x14ac:dyDescent="0.3">
      <c r="A463" t="s">
        <v>358</v>
      </c>
      <c r="B463" s="2">
        <v>45354</v>
      </c>
      <c r="C463" s="2" t="str" cm="1">
        <f t="array" ref="C46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63">
        <f>YEAR(AllDataApr[[#This Row],[Date]])</f>
        <v>2024</v>
      </c>
      <c r="E463" s="1">
        <v>0.63541666666666663</v>
      </c>
      <c r="F463" s="2" t="str">
        <f>IF(AND(AllDataApr[[#This Row],[Time]]&lt;0.5, AllDataApr[[#This Row],[Time]]&gt;0.17)=TRUE, "Morning", IF(AND(AllDataApr[[#This Row],[Time]]&lt;0.75, AllDataApr[[#This Row],[Time]]&gt;=0.5)=TRUE, "Afternoon", IF(AND(AllDataApr[[#This Row],[Time]]&lt;1, AllDataApr[[#This Row],[Time]]&gt;=0.75)=TRUE, "Evening", "Night")))</f>
        <v>Afternoon</v>
      </c>
      <c r="G463" t="s">
        <v>275</v>
      </c>
      <c r="H463" t="str">
        <f>_xlfn.XLOOKUP(AllDataApr[[#This Row],[Location Name]], Locations[Row Labels],Locations[Group As])</f>
        <v>Bell Brook 1</v>
      </c>
      <c r="I463" t="str">
        <f>_xlfn.XLOOKUP(AllDataApr[[#This Row],[Site Name]],LocationsKey[Site Name],LocationsKey[Region])</f>
        <v>Stratford</v>
      </c>
      <c r="J463" t="str">
        <f>_xlfn.XLOOKUP(AllDataApr[[#This Row],[Site Name]],LocationsKey[Site Name], LocationsKey[Waterway])</f>
        <v>Bell Brook</v>
      </c>
      <c r="K463" t="s">
        <v>279</v>
      </c>
      <c r="N463" t="s">
        <v>200</v>
      </c>
      <c r="O463">
        <v>490</v>
      </c>
      <c r="P463">
        <v>8.8000000000000007</v>
      </c>
      <c r="Q463">
        <v>5</v>
      </c>
      <c r="R463" s="7" t="str">
        <f>IF(AllDataApr[[#This Row],[Nitrate (PPM)]]&gt;2, "Very high", IF(AllDataApr[[#This Row],[Nitrate (PPM)]]&gt;1, "High", IF(AllDataApr[[#This Row],[Nitrate (PPM)]]&gt;0.5, "Some evidence", IF(AllDataApr[[#This Row],[Nitrate (PPM)]]&gt;0, "No evidence", IF(AllDataApr[[#This Row],[Nitrate (PPM)]]=0, "")))))</f>
        <v>Very high</v>
      </c>
      <c r="S463">
        <v>0.44</v>
      </c>
      <c r="T463" s="7" t="str">
        <f>IF(AllDataApr[[#This Row],[Phosphate (PPM)]]&gt;0.5, "Very high", IF(AllDataApr[[#This Row],[Phosphate (PPM)]]&gt;0.1, "High", IF(AllDataApr[[#This Row],[Phosphate (PPM)]]&gt;0.05, "Some evidence", IF(AllDataApr[[#This Row],[Phosphate (PPM)]]=0, ""))))</f>
        <v>High</v>
      </c>
      <c r="U463">
        <v>0.5</v>
      </c>
      <c r="V463" t="s">
        <v>283</v>
      </c>
    </row>
    <row r="464" spans="1:22" x14ac:dyDescent="0.3">
      <c r="A464" t="s">
        <v>441</v>
      </c>
      <c r="B464" s="2">
        <v>45355</v>
      </c>
      <c r="C464" s="2" t="str" cm="1">
        <f t="array" ref="C46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64">
        <f>YEAR(AllDataApr[[#This Row],[Date]])</f>
        <v>2024</v>
      </c>
      <c r="E464" s="1">
        <v>0.37569444444444444</v>
      </c>
      <c r="F464" s="2" t="str">
        <f>IF(AND(AllDataApr[[#This Row],[Time]]&lt;0.5, AllDataApr[[#This Row],[Time]]&gt;0.17)=TRUE, "Morning", IF(AND(AllDataApr[[#This Row],[Time]]&lt;0.75, AllDataApr[[#This Row],[Time]]&gt;=0.5)=TRUE, "Afternoon", IF(AND(AllDataApr[[#This Row],[Time]]&lt;1, AllDataApr[[#This Row],[Time]]&gt;=0.75)=TRUE, "Evening", "Night")))</f>
        <v>Morning</v>
      </c>
      <c r="G464" t="s">
        <v>150</v>
      </c>
      <c r="H464" t="str">
        <f>_xlfn.XLOOKUP(AllDataApr[[#This Row],[Location Name]], Locations[Row Labels],Locations[Group As])</f>
        <v>Stour Stretton-on-Fosse Village</v>
      </c>
      <c r="I464" t="str">
        <f>_xlfn.XLOOKUP(AllDataApr[[#This Row],[Site Name]],LocationsKey[Site Name],LocationsKey[Region])</f>
        <v>Shipston</v>
      </c>
      <c r="J464" t="str">
        <f>_xlfn.XLOOKUP(AllDataApr[[#This Row],[Site Name]],LocationsKey[Site Name], LocationsKey[Waterway])</f>
        <v>Stour</v>
      </c>
      <c r="K464" t="s">
        <v>198</v>
      </c>
      <c r="L464">
        <v>52.046526999999998</v>
      </c>
      <c r="M464">
        <v>-1.673324</v>
      </c>
      <c r="N464" t="s">
        <v>42</v>
      </c>
      <c r="O464">
        <v>551</v>
      </c>
      <c r="P464">
        <v>5.5</v>
      </c>
      <c r="Q464">
        <v>1</v>
      </c>
      <c r="R464" s="7" t="str">
        <f>IF(AllDataApr[[#This Row],[Nitrate (PPM)]]&gt;2, "Very high", IF(AllDataApr[[#This Row],[Nitrate (PPM)]]&gt;1, "High", IF(AllDataApr[[#This Row],[Nitrate (PPM)]]&gt;0.5, "Some evidence", IF(AllDataApr[[#This Row],[Nitrate (PPM)]]&gt;0, "No evidence", IF(AllDataApr[[#This Row],[Nitrate (PPM)]]=0, "")))))</f>
        <v>Some evidence</v>
      </c>
      <c r="S464">
        <v>1.0900000000000001</v>
      </c>
      <c r="T464" s="7" t="str">
        <f>IF(AllDataApr[[#This Row],[Phosphate (PPM)]]&gt;0.5, "Very high", IF(AllDataApr[[#This Row],[Phosphate (PPM)]]&gt;0.1, "High", IF(AllDataApr[[#This Row],[Phosphate (PPM)]]&gt;0.05, "Some evidence", IF(AllDataApr[[#This Row],[Phosphate (PPM)]]=0, ""))))</f>
        <v>Very high</v>
      </c>
      <c r="U464">
        <v>0.2</v>
      </c>
    </row>
    <row r="465" spans="1:22" x14ac:dyDescent="0.3">
      <c r="A465" t="s">
        <v>440</v>
      </c>
      <c r="B465" s="2">
        <v>45355</v>
      </c>
      <c r="C465" s="2" t="str" cm="1">
        <f t="array" ref="C46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65">
        <f>YEAR(AllDataApr[[#This Row],[Date]])</f>
        <v>2024</v>
      </c>
      <c r="E465" s="1">
        <v>0.38819444444444445</v>
      </c>
      <c r="F465" s="2" t="str">
        <f>IF(AND(AllDataApr[[#This Row],[Time]]&lt;0.5, AllDataApr[[#This Row],[Time]]&gt;0.17)=TRUE, "Morning", IF(AND(AllDataApr[[#This Row],[Time]]&lt;0.75, AllDataApr[[#This Row],[Time]]&gt;=0.5)=TRUE, "Afternoon", IF(AND(AllDataApr[[#This Row],[Time]]&lt;1, AllDataApr[[#This Row],[Time]]&gt;=0.75)=TRUE, "Evening", "Night")))</f>
        <v>Morning</v>
      </c>
      <c r="G465" t="s">
        <v>150</v>
      </c>
      <c r="H465" t="str">
        <f>_xlfn.XLOOKUP(AllDataApr[[#This Row],[Location Name]], Locations[Row Labels],Locations[Group As])</f>
        <v>Stour Stretton-on-Fosse Sewage Works</v>
      </c>
      <c r="I465" t="str">
        <f>_xlfn.XLOOKUP(AllDataApr[[#This Row],[Site Name]],LocationsKey[Site Name],LocationsKey[Region])</f>
        <v>Shipston</v>
      </c>
      <c r="J465" t="str">
        <f>_xlfn.XLOOKUP(AllDataApr[[#This Row],[Site Name]],LocationsKey[Site Name], LocationsKey[Waterway])</f>
        <v>Stour</v>
      </c>
      <c r="K465" t="s">
        <v>151</v>
      </c>
      <c r="L465">
        <v>52.045676999999998</v>
      </c>
      <c r="M465">
        <v>-1.671869</v>
      </c>
      <c r="N465" t="s">
        <v>18</v>
      </c>
      <c r="O465">
        <v>599</v>
      </c>
      <c r="P465">
        <v>5.0999999999999996</v>
      </c>
      <c r="Q465">
        <v>2</v>
      </c>
      <c r="R465" s="7" t="str">
        <f>IF(AllDataApr[[#This Row],[Nitrate (PPM)]]&gt;2, "Very high", IF(AllDataApr[[#This Row],[Nitrate (PPM)]]&gt;1, "High", IF(AllDataApr[[#This Row],[Nitrate (PPM)]]&gt;0.5, "Some evidence", IF(AllDataApr[[#This Row],[Nitrate (PPM)]]&gt;0, "No evidence", IF(AllDataApr[[#This Row],[Nitrate (PPM)]]=0, "")))))</f>
        <v>High</v>
      </c>
      <c r="S465">
        <v>1.5</v>
      </c>
      <c r="T465" s="7" t="str">
        <f>IF(AllDataApr[[#This Row],[Phosphate (PPM)]]&gt;0.5, "Very high", IF(AllDataApr[[#This Row],[Phosphate (PPM)]]&gt;0.1, "High", IF(AllDataApr[[#This Row],[Phosphate (PPM)]]&gt;0.05, "Some evidence", IF(AllDataApr[[#This Row],[Phosphate (PPM)]]=0, ""))))</f>
        <v>Very high</v>
      </c>
      <c r="U465">
        <v>0.3</v>
      </c>
    </row>
    <row r="466" spans="1:22" x14ac:dyDescent="0.3">
      <c r="A466" t="s">
        <v>438</v>
      </c>
      <c r="B466" s="2">
        <v>45355</v>
      </c>
      <c r="C466" s="2" t="str" cm="1">
        <f t="array" ref="C46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66">
        <f>YEAR(AllDataApr[[#This Row],[Date]])</f>
        <v>2024</v>
      </c>
      <c r="E466" s="1">
        <v>0.59375</v>
      </c>
      <c r="F466" s="2" t="str">
        <f>IF(AND(AllDataApr[[#This Row],[Time]]&lt;0.5, AllDataApr[[#This Row],[Time]]&gt;0.17)=TRUE, "Morning", IF(AND(AllDataApr[[#This Row],[Time]]&lt;0.75, AllDataApr[[#This Row],[Time]]&gt;=0.5)=TRUE, "Afternoon", IF(AND(AllDataApr[[#This Row],[Time]]&lt;1, AllDataApr[[#This Row],[Time]]&gt;=0.75)=TRUE, "Evening", "Night")))</f>
        <v>Afternoon</v>
      </c>
      <c r="G466" t="s">
        <v>129</v>
      </c>
      <c r="H466" t="str">
        <f>_xlfn.XLOOKUP(AllDataApr[[#This Row],[Location Name]], Locations[Row Labels],Locations[Group As])</f>
        <v>Swiffen Bank</v>
      </c>
      <c r="I466" t="str">
        <f>_xlfn.XLOOKUP(AllDataApr[[#This Row],[Site Name]],LocationsKey[Site Name],LocationsKey[Region])</f>
        <v>Stratford</v>
      </c>
      <c r="J466" t="str">
        <f>_xlfn.XLOOKUP(AllDataApr[[#This Row],[Site Name]],LocationsKey[Site Name], LocationsKey[Waterway])</f>
        <v>Avon</v>
      </c>
      <c r="K466" t="s">
        <v>130</v>
      </c>
      <c r="L466">
        <v>52.206477999999997</v>
      </c>
      <c r="M466">
        <v>-1.653894</v>
      </c>
      <c r="N466" t="s">
        <v>18</v>
      </c>
      <c r="O466">
        <v>568</v>
      </c>
      <c r="P466">
        <v>8.8000000000000007</v>
      </c>
      <c r="Q466">
        <v>5</v>
      </c>
      <c r="R466" s="7" t="str">
        <f>IF(AllDataApr[[#This Row],[Nitrate (PPM)]]&gt;2, "Very high", IF(AllDataApr[[#This Row],[Nitrate (PPM)]]&gt;1, "High", IF(AllDataApr[[#This Row],[Nitrate (PPM)]]&gt;0.5, "Some evidence", IF(AllDataApr[[#This Row],[Nitrate (PPM)]]&gt;0, "No evidence", IF(AllDataApr[[#This Row],[Nitrate (PPM)]]=0, "")))))</f>
        <v>Very high</v>
      </c>
      <c r="S466">
        <v>0.32</v>
      </c>
      <c r="T466" s="7" t="str">
        <f>IF(AllDataApr[[#This Row],[Phosphate (PPM)]]&gt;0.5, "Very high", IF(AllDataApr[[#This Row],[Phosphate (PPM)]]&gt;0.1, "High", IF(AllDataApr[[#This Row],[Phosphate (PPM)]]&gt;0.05, "Some evidence", IF(AllDataApr[[#This Row],[Phosphate (PPM)]]=0, ""))))</f>
        <v>High</v>
      </c>
      <c r="U466">
        <v>0.75</v>
      </c>
      <c r="V466" t="s">
        <v>1000</v>
      </c>
    </row>
    <row r="467" spans="1:22" x14ac:dyDescent="0.3">
      <c r="A467" t="s">
        <v>439</v>
      </c>
      <c r="B467" s="2">
        <v>45355</v>
      </c>
      <c r="C467" s="2" t="str" cm="1">
        <f t="array" ref="C46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67">
        <f>YEAR(AllDataApr[[#This Row],[Date]])</f>
        <v>2024</v>
      </c>
      <c r="E467" s="1">
        <v>0.59513888888888888</v>
      </c>
      <c r="F467" s="2" t="str">
        <f>IF(AND(AllDataApr[[#This Row],[Time]]&lt;0.5, AllDataApr[[#This Row],[Time]]&gt;0.17)=TRUE, "Morning", IF(AND(AllDataApr[[#This Row],[Time]]&lt;0.75, AllDataApr[[#This Row],[Time]]&gt;=0.5)=TRUE, "Afternoon", IF(AND(AllDataApr[[#This Row],[Time]]&lt;1, AllDataApr[[#This Row],[Time]]&gt;=0.75)=TRUE, "Evening", "Night")))</f>
        <v>Afternoon</v>
      </c>
      <c r="G467" t="s">
        <v>139</v>
      </c>
      <c r="H467" t="str">
        <f>_xlfn.XLOOKUP(AllDataApr[[#This Row],[Location Name]], Locations[Row Labels],Locations[Group As])</f>
        <v>Alveston Weir</v>
      </c>
      <c r="I467" t="str">
        <f>_xlfn.XLOOKUP(AllDataApr[[#This Row],[Site Name]],LocationsKey[Site Name],LocationsKey[Region])</f>
        <v>Stratford</v>
      </c>
      <c r="J467" t="str">
        <f>_xlfn.XLOOKUP(AllDataApr[[#This Row],[Site Name]],LocationsKey[Site Name], LocationsKey[Waterway])</f>
        <v>Avon</v>
      </c>
      <c r="K467" t="s">
        <v>128</v>
      </c>
      <c r="L467">
        <v>52.214320000000001</v>
      </c>
      <c r="M467">
        <v>-1.6599330000000001</v>
      </c>
      <c r="N467" t="s">
        <v>18</v>
      </c>
      <c r="O467">
        <v>561</v>
      </c>
      <c r="P467">
        <v>8.8000000000000007</v>
      </c>
      <c r="Q467">
        <v>5</v>
      </c>
      <c r="R467" s="7" t="str">
        <f>IF(AllDataApr[[#This Row],[Nitrate (PPM)]]&gt;2, "Very high", IF(AllDataApr[[#This Row],[Nitrate (PPM)]]&gt;1, "High", IF(AllDataApr[[#This Row],[Nitrate (PPM)]]&gt;0.5, "Some evidence", IF(AllDataApr[[#This Row],[Nitrate (PPM)]]&gt;0, "No evidence", IF(AllDataApr[[#This Row],[Nitrate (PPM)]]=0, "")))))</f>
        <v>Very high</v>
      </c>
      <c r="S467">
        <v>0.42</v>
      </c>
      <c r="T467" s="7" t="str">
        <f>IF(AllDataApr[[#This Row],[Phosphate (PPM)]]&gt;0.5, "Very high", IF(AllDataApr[[#This Row],[Phosphate (PPM)]]&gt;0.1, "High", IF(AllDataApr[[#This Row],[Phosphate (PPM)]]&gt;0.05, "Some evidence", IF(AllDataApr[[#This Row],[Phosphate (PPM)]]=0, ""))))</f>
        <v>High</v>
      </c>
      <c r="U467">
        <v>0.75</v>
      </c>
    </row>
    <row r="468" spans="1:22" x14ac:dyDescent="0.3">
      <c r="A468" t="s">
        <v>437</v>
      </c>
      <c r="B468" s="2">
        <v>45356</v>
      </c>
      <c r="C468" s="2" t="str" cm="1">
        <f t="array" ref="C46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68">
        <f>YEAR(AllDataApr[[#This Row],[Date]])</f>
        <v>2024</v>
      </c>
      <c r="E468" s="1">
        <v>0.76736111111111116</v>
      </c>
      <c r="F468" s="2" t="str">
        <f>IF(AND(AllDataApr[[#This Row],[Time]]&lt;0.5, AllDataApr[[#This Row],[Time]]&gt;0.17)=TRUE, "Morning", IF(AND(AllDataApr[[#This Row],[Time]]&lt;0.75, AllDataApr[[#This Row],[Time]]&gt;=0.5)=TRUE, "Afternoon", IF(AND(AllDataApr[[#This Row],[Time]]&lt;1, AllDataApr[[#This Row],[Time]]&gt;=0.75)=TRUE, "Evening", "Night")))</f>
        <v>Evening</v>
      </c>
      <c r="G468" t="s">
        <v>274</v>
      </c>
      <c r="H468" t="str">
        <f>_xlfn.XLOOKUP(AllDataApr[[#This Row],[Location Name]], Locations[Row Labels],Locations[Group As])</f>
        <v>Abbey Mill</v>
      </c>
      <c r="I468" t="str">
        <f>_xlfn.XLOOKUP(AllDataApr[[#This Row],[Site Name]],LocationsKey[Site Name],LocationsKey[Region])</f>
        <v>Tewkesbury</v>
      </c>
      <c r="J468" t="str">
        <f>_xlfn.XLOOKUP(AllDataApr[[#This Row],[Site Name]],LocationsKey[Site Name], LocationsKey[Waterway])</f>
        <v>Avon</v>
      </c>
      <c r="K468" t="s">
        <v>13</v>
      </c>
      <c r="L468">
        <v>51.991326000000001</v>
      </c>
      <c r="M468">
        <v>-2.1621950000000001</v>
      </c>
      <c r="N468" t="s">
        <v>18</v>
      </c>
      <c r="O468">
        <v>709</v>
      </c>
      <c r="P468">
        <v>8.4</v>
      </c>
      <c r="Q468">
        <v>5</v>
      </c>
      <c r="R468" s="7" t="str">
        <f>IF(AllDataApr[[#This Row],[Nitrate (PPM)]]&gt;2, "Very high", IF(AllDataApr[[#This Row],[Nitrate (PPM)]]&gt;1, "High", IF(AllDataApr[[#This Row],[Nitrate (PPM)]]&gt;0.5, "Some evidence", IF(AllDataApr[[#This Row],[Nitrate (PPM)]]&gt;0, "No evidence", IF(AllDataApr[[#This Row],[Nitrate (PPM)]]=0, "")))))</f>
        <v>Very high</v>
      </c>
      <c r="S468">
        <v>0.5</v>
      </c>
      <c r="T468" s="7" t="str">
        <f>IF(AllDataApr[[#This Row],[Phosphate (PPM)]]&gt;0.5, "Very high", IF(AllDataApr[[#This Row],[Phosphate (PPM)]]&gt;0.1, "High", IF(AllDataApr[[#This Row],[Phosphate (PPM)]]&gt;0.05, "Some evidence", IF(AllDataApr[[#This Row],[Phosphate (PPM)]]=0, ""))))</f>
        <v>High</v>
      </c>
      <c r="U468">
        <v>0.3</v>
      </c>
    </row>
    <row r="469" spans="1:22" x14ac:dyDescent="0.3">
      <c r="A469" t="s">
        <v>409</v>
      </c>
      <c r="B469" s="2">
        <v>45357</v>
      </c>
      <c r="C469" s="2" t="str" cm="1">
        <f t="array" ref="C46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69">
        <f>YEAR(AllDataApr[[#This Row],[Date]])</f>
        <v>2024</v>
      </c>
      <c r="E469" s="1">
        <v>0.68055555555555558</v>
      </c>
      <c r="F469" s="2" t="str">
        <f>IF(AND(AllDataApr[[#This Row],[Time]]&lt;0.5, AllDataApr[[#This Row],[Time]]&gt;0.17)=TRUE, "Morning", IF(AND(AllDataApr[[#This Row],[Time]]&lt;0.75, AllDataApr[[#This Row],[Time]]&gt;=0.5)=TRUE, "Afternoon", IF(AND(AllDataApr[[#This Row],[Time]]&lt;1, AllDataApr[[#This Row],[Time]]&gt;=0.75)=TRUE, "Evening", "Night")))</f>
        <v>Afternoon</v>
      </c>
      <c r="G469" t="s">
        <v>57</v>
      </c>
      <c r="H469" t="str">
        <f>_xlfn.XLOOKUP(AllDataApr[[#This Row],[Location Name]], Locations[Row Labels],Locations[Group As])</f>
        <v>Stour Newbold Mill</v>
      </c>
      <c r="I469" t="str">
        <f>_xlfn.XLOOKUP(AllDataApr[[#This Row],[Site Name]],LocationsKey[Site Name],LocationsKey[Region])</f>
        <v>Shipston</v>
      </c>
      <c r="J469" t="str">
        <f>_xlfn.XLOOKUP(AllDataApr[[#This Row],[Site Name]],LocationsKey[Site Name], LocationsKey[Waterway])</f>
        <v>Stour</v>
      </c>
      <c r="K469" t="s">
        <v>66</v>
      </c>
      <c r="L469">
        <v>52.112834999999997</v>
      </c>
      <c r="M469">
        <v>-1.633446</v>
      </c>
      <c r="N469" t="s">
        <v>18</v>
      </c>
      <c r="O469">
        <v>607</v>
      </c>
      <c r="P469">
        <v>10.199999999999999</v>
      </c>
      <c r="Q469">
        <v>2</v>
      </c>
      <c r="R469" s="7" t="str">
        <f>IF(AllDataApr[[#This Row],[Nitrate (PPM)]]&gt;2, "Very high", IF(AllDataApr[[#This Row],[Nitrate (PPM)]]&gt;1, "High", IF(AllDataApr[[#This Row],[Nitrate (PPM)]]&gt;0.5, "Some evidence", IF(AllDataApr[[#This Row],[Nitrate (PPM)]]&gt;0, "No evidence", IF(AllDataApr[[#This Row],[Nitrate (PPM)]]=0, "")))))</f>
        <v>High</v>
      </c>
      <c r="S469">
        <v>0.27</v>
      </c>
      <c r="T469" s="7" t="str">
        <f>IF(AllDataApr[[#This Row],[Phosphate (PPM)]]&gt;0.5, "Very high", IF(AllDataApr[[#This Row],[Phosphate (PPM)]]&gt;0.1, "High", IF(AllDataApr[[#This Row],[Phosphate (PPM)]]&gt;0.05, "Some evidence", IF(AllDataApr[[#This Row],[Phosphate (PPM)]]=0, ""))))</f>
        <v>High</v>
      </c>
      <c r="U469">
        <v>2.5</v>
      </c>
      <c r="V469" t="s">
        <v>987</v>
      </c>
    </row>
    <row r="470" spans="1:22" x14ac:dyDescent="0.3">
      <c r="A470" t="s">
        <v>435</v>
      </c>
      <c r="B470" s="2">
        <v>45358</v>
      </c>
      <c r="C470" s="2" t="str" cm="1">
        <f t="array" ref="C47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70">
        <f>YEAR(AllDataApr[[#This Row],[Date]])</f>
        <v>2024</v>
      </c>
      <c r="E470" s="1">
        <v>0.47847222222222224</v>
      </c>
      <c r="F470" s="2" t="str">
        <f>IF(AND(AllDataApr[[#This Row],[Time]]&lt;0.5, AllDataApr[[#This Row],[Time]]&gt;0.17)=TRUE, "Morning", IF(AND(AllDataApr[[#This Row],[Time]]&lt;0.75, AllDataApr[[#This Row],[Time]]&gt;=0.5)=TRUE, "Afternoon", IF(AND(AllDataApr[[#This Row],[Time]]&lt;1, AllDataApr[[#This Row],[Time]]&gt;=0.75)=TRUE, "Evening", "Night")))</f>
        <v>Morning</v>
      </c>
      <c r="G470" t="s">
        <v>220</v>
      </c>
      <c r="H470" t="str">
        <f>_xlfn.XLOOKUP(AllDataApr[[#This Row],[Location Name]], Locations[Row Labels],Locations[Group As])</f>
        <v>Stour Willington</v>
      </c>
      <c r="I470" t="str">
        <f>_xlfn.XLOOKUP(AllDataApr[[#This Row],[Site Name]],LocationsKey[Site Name],LocationsKey[Region])</f>
        <v>Shipston</v>
      </c>
      <c r="J470" t="str">
        <f>_xlfn.XLOOKUP(AllDataApr[[#This Row],[Site Name]],LocationsKey[Site Name], LocationsKey[Waterway])</f>
        <v>Stour</v>
      </c>
      <c r="K470" t="s">
        <v>197</v>
      </c>
      <c r="L470">
        <v>52.053597000000003</v>
      </c>
      <c r="M470">
        <v>-1.620241</v>
      </c>
      <c r="O470">
        <v>590</v>
      </c>
      <c r="P470">
        <v>9</v>
      </c>
      <c r="Q470">
        <v>5</v>
      </c>
      <c r="R470" s="7" t="str">
        <f>IF(AllDataApr[[#This Row],[Nitrate (PPM)]]&gt;2, "Very high", IF(AllDataApr[[#This Row],[Nitrate (PPM)]]&gt;1, "High", IF(AllDataApr[[#This Row],[Nitrate (PPM)]]&gt;0.5, "Some evidence", IF(AllDataApr[[#This Row],[Nitrate (PPM)]]&gt;0, "No evidence", IF(AllDataApr[[#This Row],[Nitrate (PPM)]]=0, "")))))</f>
        <v>Very high</v>
      </c>
      <c r="S470">
        <v>0.14000000000000001</v>
      </c>
      <c r="T470" s="7" t="str">
        <f>IF(AllDataApr[[#This Row],[Phosphate (PPM)]]&gt;0.5, "Very high", IF(AllDataApr[[#This Row],[Phosphate (PPM)]]&gt;0.1, "High", IF(AllDataApr[[#This Row],[Phosphate (PPM)]]&gt;0.05, "Some evidence", IF(AllDataApr[[#This Row],[Phosphate (PPM)]]=0, ""))))</f>
        <v>High</v>
      </c>
      <c r="U470">
        <v>0.5</v>
      </c>
    </row>
    <row r="471" spans="1:22" x14ac:dyDescent="0.3">
      <c r="A471" t="s">
        <v>436</v>
      </c>
      <c r="B471" s="2">
        <v>45359</v>
      </c>
      <c r="C471" s="2" t="str" cm="1">
        <f t="array" ref="C47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71">
        <f>YEAR(AllDataApr[[#This Row],[Date]])</f>
        <v>2024</v>
      </c>
      <c r="E471" s="1">
        <v>0.36388888888888887</v>
      </c>
      <c r="F471" s="2" t="str">
        <f>IF(AND(AllDataApr[[#This Row],[Time]]&lt;0.5, AllDataApr[[#This Row],[Time]]&gt;0.17)=TRUE, "Morning", IF(AND(AllDataApr[[#This Row],[Time]]&lt;0.75, AllDataApr[[#This Row],[Time]]&gt;=0.5)=TRUE, "Afternoon", IF(AND(AllDataApr[[#This Row],[Time]]&lt;1, AllDataApr[[#This Row],[Time]]&gt;=0.75)=TRUE, "Evening", "Night")))</f>
        <v>Morning</v>
      </c>
      <c r="G471" t="s">
        <v>277</v>
      </c>
      <c r="H471" t="str">
        <f>_xlfn.XLOOKUP(AllDataApr[[#This Row],[Location Name]], Locations[Row Labels],Locations[Group As])</f>
        <v>Mill Bridge Peopleton</v>
      </c>
      <c r="I471" t="str">
        <f>_xlfn.XLOOKUP(AllDataApr[[#This Row],[Site Name]],LocationsKey[Site Name],LocationsKey[Region])</f>
        <v>Pershore</v>
      </c>
      <c r="J471" t="str">
        <f>_xlfn.XLOOKUP(AllDataApr[[#This Row],[Site Name]],LocationsKey[Site Name], LocationsKey[Waterway])</f>
        <v>Bow Brook</v>
      </c>
      <c r="K471" t="s">
        <v>923</v>
      </c>
      <c r="L471">
        <v>52.151504000000003</v>
      </c>
      <c r="M471">
        <v>-2.0960640000000001</v>
      </c>
      <c r="N471" t="s">
        <v>18</v>
      </c>
      <c r="O471">
        <v>975</v>
      </c>
      <c r="P471">
        <v>9.3000000000000007</v>
      </c>
      <c r="Q471">
        <v>5</v>
      </c>
      <c r="R471" s="7" t="str">
        <f>IF(AllDataApr[[#This Row],[Nitrate (PPM)]]&gt;2, "Very high", IF(AllDataApr[[#This Row],[Nitrate (PPM)]]&gt;1, "High", IF(AllDataApr[[#This Row],[Nitrate (PPM)]]&gt;0.5, "Some evidence", IF(AllDataApr[[#This Row],[Nitrate (PPM)]]&gt;0, "No evidence", IF(AllDataApr[[#This Row],[Nitrate (PPM)]]=0, "")))))</f>
        <v>Very high</v>
      </c>
      <c r="S471">
        <v>0.8</v>
      </c>
      <c r="T471" s="7" t="str">
        <f>IF(AllDataApr[[#This Row],[Phosphate (PPM)]]&gt;0.5, "Very high", IF(AllDataApr[[#This Row],[Phosphate (PPM)]]&gt;0.1, "High", IF(AllDataApr[[#This Row],[Phosphate (PPM)]]&gt;0.05, "Some evidence", IF(AllDataApr[[#This Row],[Phosphate (PPM)]]=0, ""))))</f>
        <v>Very high</v>
      </c>
      <c r="U471">
        <v>0.75</v>
      </c>
      <c r="V471" t="s">
        <v>999</v>
      </c>
    </row>
    <row r="472" spans="1:22" x14ac:dyDescent="0.3">
      <c r="A472" t="s">
        <v>434</v>
      </c>
      <c r="B472" s="2">
        <v>45359</v>
      </c>
      <c r="C472" s="2" t="str" cm="1">
        <f t="array" ref="C47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72">
        <f>YEAR(AllDataApr[[#This Row],[Date]])</f>
        <v>2024</v>
      </c>
      <c r="E472" s="1">
        <v>0.39930555555555558</v>
      </c>
      <c r="F472" s="2" t="str">
        <f>IF(AND(AllDataApr[[#This Row],[Time]]&lt;0.5, AllDataApr[[#This Row],[Time]]&gt;0.17)=TRUE, "Morning", IF(AND(AllDataApr[[#This Row],[Time]]&lt;0.75, AllDataApr[[#This Row],[Time]]&gt;=0.5)=TRUE, "Afternoon", IF(AND(AllDataApr[[#This Row],[Time]]&lt;1, AllDataApr[[#This Row],[Time]]&gt;=0.75)=TRUE, "Evening", "Night")))</f>
        <v>Morning</v>
      </c>
      <c r="G472" t="s">
        <v>224</v>
      </c>
      <c r="H472" t="str">
        <f>_xlfn.XLOOKUP(AllDataApr[[#This Row],[Location Name]], Locations[Row Labels],Locations[Group As])</f>
        <v>The Ford, Langley</v>
      </c>
      <c r="I472" t="str">
        <f>_xlfn.XLOOKUP(AllDataApr[[#This Row],[Site Name]],LocationsKey[Site Name],LocationsKey[Region])</f>
        <v>Henley-in-Arden</v>
      </c>
      <c r="J472" t="str">
        <f>_xlfn.XLOOKUP(AllDataApr[[#This Row],[Site Name]],LocationsKey[Site Name], LocationsKey[Waterway])</f>
        <v>Langley Ford</v>
      </c>
      <c r="K472" t="s">
        <v>228</v>
      </c>
      <c r="L472">
        <v>52.259639</v>
      </c>
      <c r="M472">
        <v>-1.7181999999999999</v>
      </c>
      <c r="N472" t="s">
        <v>18</v>
      </c>
      <c r="O472">
        <v>661</v>
      </c>
      <c r="P472">
        <v>8</v>
      </c>
      <c r="Q472">
        <v>5</v>
      </c>
      <c r="R472" s="7" t="str">
        <f>IF(AllDataApr[[#This Row],[Nitrate (PPM)]]&gt;2, "Very high", IF(AllDataApr[[#This Row],[Nitrate (PPM)]]&gt;1, "High", IF(AllDataApr[[#This Row],[Nitrate (PPM)]]&gt;0.5, "Some evidence", IF(AllDataApr[[#This Row],[Nitrate (PPM)]]&gt;0, "No evidence", IF(AllDataApr[[#This Row],[Nitrate (PPM)]]=0, "")))))</f>
        <v>Very high</v>
      </c>
      <c r="S472">
        <v>0.6</v>
      </c>
      <c r="T472" s="7" t="str">
        <f>IF(AllDataApr[[#This Row],[Phosphate (PPM)]]&gt;0.5, "Very high", IF(AllDataApr[[#This Row],[Phosphate (PPM)]]&gt;0.1, "High", IF(AllDataApr[[#This Row],[Phosphate (PPM)]]&gt;0.05, "Some evidence", IF(AllDataApr[[#This Row],[Phosphate (PPM)]]=0, ""))))</f>
        <v>Very high</v>
      </c>
      <c r="U472">
        <v>0.25</v>
      </c>
      <c r="V472" t="s">
        <v>998</v>
      </c>
    </row>
    <row r="473" spans="1:22" x14ac:dyDescent="0.3">
      <c r="A473" t="s">
        <v>433</v>
      </c>
      <c r="B473" s="2">
        <v>45359</v>
      </c>
      <c r="C473" s="2" t="str" cm="1">
        <f t="array" ref="C47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73">
        <f>YEAR(AllDataApr[[#This Row],[Date]])</f>
        <v>2024</v>
      </c>
      <c r="E473" s="1">
        <v>0.57361111111111107</v>
      </c>
      <c r="F473" s="2" t="str">
        <f>IF(AND(AllDataApr[[#This Row],[Time]]&lt;0.5, AllDataApr[[#This Row],[Time]]&gt;0.17)=TRUE, "Morning", IF(AND(AllDataApr[[#This Row],[Time]]&lt;0.75, AllDataApr[[#This Row],[Time]]&gt;=0.5)=TRUE, "Afternoon", IF(AND(AllDataApr[[#This Row],[Time]]&lt;1, AllDataApr[[#This Row],[Time]]&gt;=0.75)=TRUE, "Evening", "Night")))</f>
        <v>Afternoon</v>
      </c>
      <c r="G473" t="s">
        <v>59</v>
      </c>
      <c r="H473" t="str">
        <f>_xlfn.XLOOKUP(AllDataApr[[#This Row],[Location Name]], Locations[Row Labels],Locations[Group As])</f>
        <v>Preston-on-Stour River Bridge</v>
      </c>
      <c r="I473" t="str">
        <f>_xlfn.XLOOKUP(AllDataApr[[#This Row],[Site Name]],LocationsKey[Site Name],LocationsKey[Region])</f>
        <v>Stratford</v>
      </c>
      <c r="J473" t="str">
        <f>_xlfn.XLOOKUP(AllDataApr[[#This Row],[Site Name]],LocationsKey[Site Name], LocationsKey[Waterway])</f>
        <v>Stour</v>
      </c>
      <c r="K473" t="s">
        <v>78</v>
      </c>
      <c r="L473">
        <v>52.146436000000001</v>
      </c>
      <c r="M473">
        <v>-1.699813</v>
      </c>
      <c r="N473" t="s">
        <v>18</v>
      </c>
      <c r="O473">
        <v>647</v>
      </c>
      <c r="P473">
        <v>8.4</v>
      </c>
      <c r="Q473">
        <v>7</v>
      </c>
      <c r="R473" s="7" t="str">
        <f>IF(AllDataApr[[#This Row],[Nitrate (PPM)]]&gt;2, "Very high", IF(AllDataApr[[#This Row],[Nitrate (PPM)]]&gt;1, "High", IF(AllDataApr[[#This Row],[Nitrate (PPM)]]&gt;0.5, "Some evidence", IF(AllDataApr[[#This Row],[Nitrate (PPM)]]&gt;0, "No evidence", IF(AllDataApr[[#This Row],[Nitrate (PPM)]]=0, "")))))</f>
        <v>Very high</v>
      </c>
      <c r="S473">
        <v>0.22</v>
      </c>
      <c r="T473" s="7" t="str">
        <f>IF(AllDataApr[[#This Row],[Phosphate (PPM)]]&gt;0.5, "Very high", IF(AllDataApr[[#This Row],[Phosphate (PPM)]]&gt;0.1, "High", IF(AllDataApr[[#This Row],[Phosphate (PPM)]]&gt;0.05, "Some evidence", IF(AllDataApr[[#This Row],[Phosphate (PPM)]]=0, ""))))</f>
        <v>High</v>
      </c>
      <c r="U473">
        <v>1.5</v>
      </c>
    </row>
    <row r="474" spans="1:22" x14ac:dyDescent="0.3">
      <c r="A474" t="s">
        <v>429</v>
      </c>
      <c r="B474" s="2">
        <v>45359</v>
      </c>
      <c r="C474" s="2" t="str" cm="1">
        <f t="array" ref="C47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74">
        <f>YEAR(AllDataApr[[#This Row],[Date]])</f>
        <v>2024</v>
      </c>
      <c r="E474" s="1">
        <v>0.66666666666666663</v>
      </c>
      <c r="F474" s="2" t="str">
        <f>IF(AND(AllDataApr[[#This Row],[Time]]&lt;0.5, AllDataApr[[#This Row],[Time]]&gt;0.17)=TRUE, "Morning", IF(AND(AllDataApr[[#This Row],[Time]]&lt;0.75, AllDataApr[[#This Row],[Time]]&gt;=0.5)=TRUE, "Afternoon", IF(AND(AllDataApr[[#This Row],[Time]]&lt;1, AllDataApr[[#This Row],[Time]]&gt;=0.75)=TRUE, "Evening", "Night")))</f>
        <v>Afternoon</v>
      </c>
      <c r="G474" t="s">
        <v>906</v>
      </c>
      <c r="H474" t="str">
        <f>_xlfn.XLOOKUP(AllDataApr[[#This Row],[Location Name]], Locations[Row Labels],Locations[Group As])</f>
        <v>Preston Bagot Canal</v>
      </c>
      <c r="I474" t="str">
        <f>_xlfn.XLOOKUP(AllDataApr[[#This Row],[Site Name]],LocationsKey[Site Name],LocationsKey[Region])</f>
        <v>Henley-in-Arden</v>
      </c>
      <c r="J474" t="str">
        <f>_xlfn.XLOOKUP(AllDataApr[[#This Row],[Site Name]],LocationsKey[Site Name], LocationsKey[Waterway])</f>
        <v>Preston Bagot Canal</v>
      </c>
      <c r="K474" t="s">
        <v>922</v>
      </c>
      <c r="N474" t="s">
        <v>200</v>
      </c>
      <c r="O474">
        <v>338</v>
      </c>
      <c r="P474">
        <v>9.5</v>
      </c>
      <c r="Q474">
        <v>2.5</v>
      </c>
      <c r="R474" s="7" t="str">
        <f>IF(AllDataApr[[#This Row],[Nitrate (PPM)]]&gt;2, "Very high", IF(AllDataApr[[#This Row],[Nitrate (PPM)]]&gt;1, "High", IF(AllDataApr[[#This Row],[Nitrate (PPM)]]&gt;0.5, "Some evidence", IF(AllDataApr[[#This Row],[Nitrate (PPM)]]&gt;0, "No evidence", IF(AllDataApr[[#This Row],[Nitrate (PPM)]]=0, "")))))</f>
        <v>Very high</v>
      </c>
      <c r="S474">
        <v>0.34</v>
      </c>
      <c r="T474" s="7" t="str">
        <f>IF(AllDataApr[[#This Row],[Phosphate (PPM)]]&gt;0.5, "Very high", IF(AllDataApr[[#This Row],[Phosphate (PPM)]]&gt;0.1, "High", IF(AllDataApr[[#This Row],[Phosphate (PPM)]]&gt;0.05, "Some evidence", IF(AllDataApr[[#This Row],[Phosphate (PPM)]]=0, ""))))</f>
        <v>High</v>
      </c>
      <c r="U474">
        <v>0</v>
      </c>
    </row>
    <row r="475" spans="1:22" x14ac:dyDescent="0.3">
      <c r="A475" t="s">
        <v>428</v>
      </c>
      <c r="B475" s="2">
        <v>45359</v>
      </c>
      <c r="C475" s="2" t="str" cm="1">
        <f t="array" ref="C47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75">
        <f>YEAR(AllDataApr[[#This Row],[Date]])</f>
        <v>2024</v>
      </c>
      <c r="E475" s="1">
        <v>0.67708333333333337</v>
      </c>
      <c r="F475" s="2" t="str">
        <f>IF(AND(AllDataApr[[#This Row],[Time]]&lt;0.5, AllDataApr[[#This Row],[Time]]&gt;0.17)=TRUE, "Morning", IF(AND(AllDataApr[[#This Row],[Time]]&lt;0.75, AllDataApr[[#This Row],[Time]]&gt;=0.5)=TRUE, "Afternoon", IF(AND(AllDataApr[[#This Row],[Time]]&lt;1, AllDataApr[[#This Row],[Time]]&gt;=0.75)=TRUE, "Evening", "Night")))</f>
        <v>Afternoon</v>
      </c>
      <c r="G475" t="s">
        <v>906</v>
      </c>
      <c r="H475" t="str">
        <f>_xlfn.XLOOKUP(AllDataApr[[#This Row],[Location Name]], Locations[Row Labels],Locations[Group As])</f>
        <v>Preston Bagot Brook</v>
      </c>
      <c r="I475" t="str">
        <f>_xlfn.XLOOKUP(AllDataApr[[#This Row],[Site Name]],LocationsKey[Site Name],LocationsKey[Region])</f>
        <v>Henley-in-Arden</v>
      </c>
      <c r="J475" t="str">
        <f>_xlfn.XLOOKUP(AllDataApr[[#This Row],[Site Name]],LocationsKey[Site Name], LocationsKey[Waterway])</f>
        <v>Preston Bagot Brook</v>
      </c>
      <c r="K475" t="s">
        <v>921</v>
      </c>
      <c r="N475" t="s">
        <v>200</v>
      </c>
      <c r="O475">
        <v>745</v>
      </c>
      <c r="P475">
        <v>10.1</v>
      </c>
      <c r="Q475">
        <v>2.5</v>
      </c>
      <c r="R475" s="7" t="str">
        <f>IF(AllDataApr[[#This Row],[Nitrate (PPM)]]&gt;2, "Very high", IF(AllDataApr[[#This Row],[Nitrate (PPM)]]&gt;1, "High", IF(AllDataApr[[#This Row],[Nitrate (PPM)]]&gt;0.5, "Some evidence", IF(AllDataApr[[#This Row],[Nitrate (PPM)]]&gt;0, "No evidence", IF(AllDataApr[[#This Row],[Nitrate (PPM)]]=0, "")))))</f>
        <v>Very high</v>
      </c>
      <c r="S475">
        <v>0.57999999999999996</v>
      </c>
      <c r="T475" s="7" t="str">
        <f>IF(AllDataApr[[#This Row],[Phosphate (PPM)]]&gt;0.5, "Very high", IF(AllDataApr[[#This Row],[Phosphate (PPM)]]&gt;0.1, "High", IF(AllDataApr[[#This Row],[Phosphate (PPM)]]&gt;0.05, "Some evidence", IF(AllDataApr[[#This Row],[Phosphate (PPM)]]=0, ""))))</f>
        <v>Very high</v>
      </c>
      <c r="U475">
        <v>0</v>
      </c>
    </row>
    <row r="476" spans="1:22" x14ac:dyDescent="0.3">
      <c r="A476" t="s">
        <v>432</v>
      </c>
      <c r="B476" s="2">
        <v>45359</v>
      </c>
      <c r="C476" s="2" t="str" cm="1">
        <f t="array" ref="C47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76">
        <f>YEAR(AllDataApr[[#This Row],[Date]])</f>
        <v>2024</v>
      </c>
      <c r="E476" s="1">
        <v>0.67986111111111114</v>
      </c>
      <c r="F476" s="2" t="str">
        <f>IF(AND(AllDataApr[[#This Row],[Time]]&lt;0.5, AllDataApr[[#This Row],[Time]]&gt;0.17)=TRUE, "Morning", IF(AND(AllDataApr[[#This Row],[Time]]&lt;0.75, AllDataApr[[#This Row],[Time]]&gt;=0.5)=TRUE, "Afternoon", IF(AND(AllDataApr[[#This Row],[Time]]&lt;1, AllDataApr[[#This Row],[Time]]&gt;=0.75)=TRUE, "Evening", "Night")))</f>
        <v>Afternoon</v>
      </c>
      <c r="G476" t="s">
        <v>903</v>
      </c>
      <c r="H476" t="str">
        <f>_xlfn.XLOOKUP(AllDataApr[[#This Row],[Location Name]], Locations[Row Labels],Locations[Group As])</f>
        <v>Walcot Lane, Bow Brook Ford</v>
      </c>
      <c r="I476" t="str">
        <f>_xlfn.XLOOKUP(AllDataApr[[#This Row],[Site Name]],LocationsKey[Site Name],LocationsKey[Region])</f>
        <v>Pershore</v>
      </c>
      <c r="J476" t="str">
        <f>_xlfn.XLOOKUP(AllDataApr[[#This Row],[Site Name]],LocationsKey[Site Name], LocationsKey[Waterway])</f>
        <v>Bow Brook</v>
      </c>
      <c r="K476" t="s">
        <v>915</v>
      </c>
      <c r="L476">
        <v>52.130406999999998</v>
      </c>
      <c r="M476">
        <v>-2.0783399999999999</v>
      </c>
      <c r="N476" t="s">
        <v>930</v>
      </c>
      <c r="O476">
        <v>848</v>
      </c>
      <c r="P476">
        <v>8.8000000000000007</v>
      </c>
      <c r="Q476">
        <v>5</v>
      </c>
      <c r="R476" s="7" t="str">
        <f>IF(AllDataApr[[#This Row],[Nitrate (PPM)]]&gt;2, "Very high", IF(AllDataApr[[#This Row],[Nitrate (PPM)]]&gt;1, "High", IF(AllDataApr[[#This Row],[Nitrate (PPM)]]&gt;0.5, "Some evidence", IF(AllDataApr[[#This Row],[Nitrate (PPM)]]&gt;0, "No evidence", IF(AllDataApr[[#This Row],[Nitrate (PPM)]]=0, "")))))</f>
        <v>Very high</v>
      </c>
      <c r="S476">
        <v>0.77</v>
      </c>
      <c r="T476" s="7" t="str">
        <f>IF(AllDataApr[[#This Row],[Phosphate (PPM)]]&gt;0.5, "Very high", IF(AllDataApr[[#This Row],[Phosphate (PPM)]]&gt;0.1, "High", IF(AllDataApr[[#This Row],[Phosphate (PPM)]]&gt;0.05, "Some evidence", IF(AllDataApr[[#This Row],[Phosphate (PPM)]]=0, ""))))</f>
        <v>Very high</v>
      </c>
      <c r="U476">
        <v>0.4</v>
      </c>
      <c r="V476" t="s">
        <v>997</v>
      </c>
    </row>
    <row r="477" spans="1:22" x14ac:dyDescent="0.3">
      <c r="A477" t="s">
        <v>431</v>
      </c>
      <c r="B477" s="2">
        <v>45360</v>
      </c>
      <c r="C477" s="2" t="str" cm="1">
        <f t="array" ref="C47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77">
        <f>YEAR(AllDataApr[[#This Row],[Date]])</f>
        <v>2024</v>
      </c>
      <c r="E477" s="1">
        <v>0.37569444444444444</v>
      </c>
      <c r="F477" s="2" t="str">
        <f>IF(AND(AllDataApr[[#This Row],[Time]]&lt;0.5, AllDataApr[[#This Row],[Time]]&gt;0.17)=TRUE, "Morning", IF(AND(AllDataApr[[#This Row],[Time]]&lt;0.75, AllDataApr[[#This Row],[Time]]&gt;=0.5)=TRUE, "Afternoon", IF(AND(AllDataApr[[#This Row],[Time]]&lt;1, AllDataApr[[#This Row],[Time]]&gt;=0.75)=TRUE, "Evening", "Night")))</f>
        <v>Morning</v>
      </c>
      <c r="G477" t="s">
        <v>11</v>
      </c>
      <c r="H477" t="str">
        <f>_xlfn.XLOOKUP(AllDataApr[[#This Row],[Location Name]], Locations[Row Labels],Locations[Group As])</f>
        <v>Swilgate</v>
      </c>
      <c r="I477" t="str">
        <f>_xlfn.XLOOKUP(AllDataApr[[#This Row],[Site Name]],LocationsKey[Site Name],LocationsKey[Region])</f>
        <v>Tewkesbury</v>
      </c>
      <c r="J477" t="str">
        <f>_xlfn.XLOOKUP(AllDataApr[[#This Row],[Site Name]],LocationsKey[Site Name], LocationsKey[Waterway])</f>
        <v>Swilgate</v>
      </c>
      <c r="K477" t="s">
        <v>196</v>
      </c>
      <c r="L477">
        <v>51.988512</v>
      </c>
      <c r="M477">
        <v>-2.1639599999999999</v>
      </c>
      <c r="N477" t="s">
        <v>200</v>
      </c>
      <c r="O477">
        <v>861</v>
      </c>
      <c r="P477">
        <v>9.5</v>
      </c>
      <c r="Q477">
        <v>7</v>
      </c>
      <c r="R477" s="7" t="str">
        <f>IF(AllDataApr[[#This Row],[Nitrate (PPM)]]&gt;2, "Very high", IF(AllDataApr[[#This Row],[Nitrate (PPM)]]&gt;1, "High", IF(AllDataApr[[#This Row],[Nitrate (PPM)]]&gt;0.5, "Some evidence", IF(AllDataApr[[#This Row],[Nitrate (PPM)]]&gt;0, "No evidence", IF(AllDataApr[[#This Row],[Nitrate (PPM)]]=0, "")))))</f>
        <v>Very high</v>
      </c>
      <c r="S477">
        <v>0.6</v>
      </c>
      <c r="T477" s="7" t="str">
        <f>IF(AllDataApr[[#This Row],[Phosphate (PPM)]]&gt;0.5, "Very high", IF(AllDataApr[[#This Row],[Phosphate (PPM)]]&gt;0.1, "High", IF(AllDataApr[[#This Row],[Phosphate (PPM)]]&gt;0.05, "Some evidence", IF(AllDataApr[[#This Row],[Phosphate (PPM)]]=0, ""))))</f>
        <v>Very high</v>
      </c>
      <c r="U477">
        <v>0</v>
      </c>
    </row>
    <row r="478" spans="1:22" x14ac:dyDescent="0.3">
      <c r="A478" t="s">
        <v>425</v>
      </c>
      <c r="B478" s="2">
        <v>45360</v>
      </c>
      <c r="C478" s="2" t="str" cm="1">
        <f t="array" ref="C47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78">
        <f>YEAR(AllDataApr[[#This Row],[Date]])</f>
        <v>2024</v>
      </c>
      <c r="E478" s="1">
        <v>0.5</v>
      </c>
      <c r="F478" s="2" t="str">
        <f>IF(AND(AllDataApr[[#This Row],[Time]]&lt;0.5, AllDataApr[[#This Row],[Time]]&gt;0.17)=TRUE, "Morning", IF(AND(AllDataApr[[#This Row],[Time]]&lt;0.75, AllDataApr[[#This Row],[Time]]&gt;=0.5)=TRUE, "Afternoon", IF(AND(AllDataApr[[#This Row],[Time]]&lt;1, AllDataApr[[#This Row],[Time]]&gt;=0.75)=TRUE, "Evening", "Night")))</f>
        <v>Afternoon</v>
      </c>
      <c r="G478" t="s">
        <v>52</v>
      </c>
      <c r="H478" t="str">
        <f>_xlfn.XLOOKUP(AllDataApr[[#This Row],[Location Name]], Locations[Row Labels],Locations[Group As])</f>
        <v>Carrant Bredon Rd</v>
      </c>
      <c r="I478" t="str">
        <f>_xlfn.XLOOKUP(AllDataApr[[#This Row],[Site Name]],LocationsKey[Site Name],LocationsKey[Region])</f>
        <v>Tewkesbury</v>
      </c>
      <c r="J478" t="str">
        <f>_xlfn.XLOOKUP(AllDataApr[[#This Row],[Site Name]],LocationsKey[Site Name], LocationsKey[Waterway])</f>
        <v>Carrant</v>
      </c>
      <c r="K478" t="s">
        <v>179</v>
      </c>
      <c r="L478">
        <v>51.996478000000003</v>
      </c>
      <c r="M478">
        <v>-2.155986</v>
      </c>
      <c r="N478" t="s">
        <v>200</v>
      </c>
      <c r="O478">
        <v>736</v>
      </c>
      <c r="P478">
        <v>9.6</v>
      </c>
      <c r="Q478">
        <v>7</v>
      </c>
      <c r="R478" s="7" t="str">
        <f>IF(AllDataApr[[#This Row],[Nitrate (PPM)]]&gt;2, "Very high", IF(AllDataApr[[#This Row],[Nitrate (PPM)]]&gt;1, "High", IF(AllDataApr[[#This Row],[Nitrate (PPM)]]&gt;0.5, "Some evidence", IF(AllDataApr[[#This Row],[Nitrate (PPM)]]&gt;0, "No evidence", IF(AllDataApr[[#This Row],[Nitrate (PPM)]]=0, "")))))</f>
        <v>Very high</v>
      </c>
      <c r="S478">
        <v>0.28000000000000003</v>
      </c>
      <c r="T478" s="7" t="str">
        <f>IF(AllDataApr[[#This Row],[Phosphate (PPM)]]&gt;0.5, "Very high", IF(AllDataApr[[#This Row],[Phosphate (PPM)]]&gt;0.1, "High", IF(AllDataApr[[#This Row],[Phosphate (PPM)]]&gt;0.05, "Some evidence", IF(AllDataApr[[#This Row],[Phosphate (PPM)]]=0, ""))))</f>
        <v>High</v>
      </c>
      <c r="U478">
        <v>7.4999999999999997E-2</v>
      </c>
      <c r="V478" t="s">
        <v>993</v>
      </c>
    </row>
    <row r="479" spans="1:22" x14ac:dyDescent="0.3">
      <c r="A479" t="s">
        <v>430</v>
      </c>
      <c r="B479" s="2">
        <v>45360</v>
      </c>
      <c r="C479" s="2" t="str" cm="1">
        <f t="array" ref="C47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79">
        <f>YEAR(AllDataApr[[#This Row],[Date]])</f>
        <v>2024</v>
      </c>
      <c r="E479" s="1">
        <v>0.51597222222222228</v>
      </c>
      <c r="F479" s="2" t="str">
        <f>IF(AND(AllDataApr[[#This Row],[Time]]&lt;0.5, AllDataApr[[#This Row],[Time]]&gt;0.17)=TRUE, "Morning", IF(AND(AllDataApr[[#This Row],[Time]]&lt;0.75, AllDataApr[[#This Row],[Time]]&gt;=0.5)=TRUE, "Afternoon", IF(AND(AllDataApr[[#This Row],[Time]]&lt;1, AllDataApr[[#This Row],[Time]]&gt;=0.75)=TRUE, "Evening", "Night")))</f>
        <v>Afternoon</v>
      </c>
      <c r="G479" t="s">
        <v>904</v>
      </c>
      <c r="H479" t="str">
        <f>_xlfn.XLOOKUP(AllDataApr[[#This Row],[Location Name]], Locations[Row Labels],Locations[Group As])</f>
        <v>Piddle Brook Wyre Piddle Bridge</v>
      </c>
      <c r="I479" t="str">
        <f>_xlfn.XLOOKUP(AllDataApr[[#This Row],[Site Name]],LocationsKey[Site Name],LocationsKey[Region])</f>
        <v>Pershore</v>
      </c>
      <c r="J479" t="str">
        <f>_xlfn.XLOOKUP(AllDataApr[[#This Row],[Site Name]],LocationsKey[Site Name], LocationsKey[Waterway])</f>
        <v>Piddle Brook</v>
      </c>
      <c r="K479" t="s">
        <v>908</v>
      </c>
      <c r="N479" t="s">
        <v>200</v>
      </c>
      <c r="O479">
        <v>1060</v>
      </c>
      <c r="P479">
        <v>8.6</v>
      </c>
      <c r="Q479">
        <v>5</v>
      </c>
      <c r="R479" s="7" t="str">
        <f>IF(AllDataApr[[#This Row],[Nitrate (PPM)]]&gt;2, "Very high", IF(AllDataApr[[#This Row],[Nitrate (PPM)]]&gt;1, "High", IF(AllDataApr[[#This Row],[Nitrate (PPM)]]&gt;0.5, "Some evidence", IF(AllDataApr[[#This Row],[Nitrate (PPM)]]&gt;0, "No evidence", IF(AllDataApr[[#This Row],[Nitrate (PPM)]]=0, "")))))</f>
        <v>Very high</v>
      </c>
      <c r="S479">
        <v>0.51</v>
      </c>
      <c r="T479" s="7" t="str">
        <f>IF(AllDataApr[[#This Row],[Phosphate (PPM)]]&gt;0.5, "Very high", IF(AllDataApr[[#This Row],[Phosphate (PPM)]]&gt;0.1, "High", IF(AllDataApr[[#This Row],[Phosphate (PPM)]]&gt;0.05, "Some evidence", IF(AllDataApr[[#This Row],[Phosphate (PPM)]]=0, ""))))</f>
        <v>Very high</v>
      </c>
      <c r="U479">
        <v>0.28999999999999998</v>
      </c>
      <c r="V479" t="s">
        <v>996</v>
      </c>
    </row>
    <row r="480" spans="1:22" x14ac:dyDescent="0.3">
      <c r="A480" t="s">
        <v>427</v>
      </c>
      <c r="B480" s="2">
        <v>45360</v>
      </c>
      <c r="C480" s="2" t="str" cm="1">
        <f t="array" ref="C48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80">
        <f>YEAR(AllDataApr[[#This Row],[Date]])</f>
        <v>2024</v>
      </c>
      <c r="E480" s="1">
        <v>0.5444444444444444</v>
      </c>
      <c r="F480" s="2" t="str">
        <f>IF(AND(AllDataApr[[#This Row],[Time]]&lt;0.5, AllDataApr[[#This Row],[Time]]&gt;0.17)=TRUE, "Morning", IF(AND(AllDataApr[[#This Row],[Time]]&lt;0.75, AllDataApr[[#This Row],[Time]]&gt;=0.5)=TRUE, "Afternoon", IF(AND(AllDataApr[[#This Row],[Time]]&lt;1, AllDataApr[[#This Row],[Time]]&gt;=0.75)=TRUE, "Evening", "Night")))</f>
        <v>Afternoon</v>
      </c>
      <c r="G480" t="s">
        <v>904</v>
      </c>
      <c r="H480" t="str">
        <f>_xlfn.XLOOKUP(AllDataApr[[#This Row],[Location Name]], Locations[Row Labels],Locations[Group As])</f>
        <v>Avon Smiths Meadow Wyre Piddle</v>
      </c>
      <c r="I480" t="str">
        <f>_xlfn.XLOOKUP(AllDataApr[[#This Row],[Site Name]],LocationsKey[Site Name],LocationsKey[Region])</f>
        <v>Pershore</v>
      </c>
      <c r="J480" t="str">
        <f>_xlfn.XLOOKUP(AllDataApr[[#This Row],[Site Name]],LocationsKey[Site Name], LocationsKey[Waterway])</f>
        <v>Avon</v>
      </c>
      <c r="K480" t="s">
        <v>909</v>
      </c>
      <c r="L480">
        <v>52.122912999999997</v>
      </c>
      <c r="M480">
        <v>-2.0574750000000002</v>
      </c>
      <c r="N480" t="s">
        <v>200</v>
      </c>
      <c r="O480">
        <v>313</v>
      </c>
      <c r="P480">
        <v>9.4</v>
      </c>
      <c r="Q480">
        <v>10</v>
      </c>
      <c r="R480" s="7" t="str">
        <f>IF(AllDataApr[[#This Row],[Nitrate (PPM)]]&gt;2, "Very high", IF(AllDataApr[[#This Row],[Nitrate (PPM)]]&gt;1, "High", IF(AllDataApr[[#This Row],[Nitrate (PPM)]]&gt;0.5, "Some evidence", IF(AllDataApr[[#This Row],[Nitrate (PPM)]]&gt;0, "No evidence", IF(AllDataApr[[#This Row],[Nitrate (PPM)]]=0, "")))))</f>
        <v>Very high</v>
      </c>
      <c r="S480">
        <v>0.56999999999999995</v>
      </c>
      <c r="T480" s="7" t="str">
        <f>IF(AllDataApr[[#This Row],[Phosphate (PPM)]]&gt;0.5, "Very high", IF(AllDataApr[[#This Row],[Phosphate (PPM)]]&gt;0.1, "High", IF(AllDataApr[[#This Row],[Phosphate (PPM)]]&gt;0.05, "Some evidence", IF(AllDataApr[[#This Row],[Phosphate (PPM)]]=0, ""))))</f>
        <v>Very high</v>
      </c>
      <c r="U480">
        <v>0.78</v>
      </c>
      <c r="V480" t="s">
        <v>995</v>
      </c>
    </row>
    <row r="481" spans="1:22" x14ac:dyDescent="0.3">
      <c r="A481" t="s">
        <v>424</v>
      </c>
      <c r="B481" s="2">
        <v>45360</v>
      </c>
      <c r="C481" s="2" t="str" cm="1">
        <f t="array" ref="C48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81">
        <f>YEAR(AllDataApr[[#This Row],[Date]])</f>
        <v>2024</v>
      </c>
      <c r="E481" s="1">
        <v>0.65902777777777777</v>
      </c>
      <c r="F481" s="2" t="str">
        <f>IF(AND(AllDataApr[[#This Row],[Time]]&lt;0.5, AllDataApr[[#This Row],[Time]]&gt;0.17)=TRUE, "Morning", IF(AND(AllDataApr[[#This Row],[Time]]&lt;0.75, AllDataApr[[#This Row],[Time]]&gt;=0.5)=TRUE, "Afternoon", IF(AND(AllDataApr[[#This Row],[Time]]&lt;1, AllDataApr[[#This Row],[Time]]&gt;=0.75)=TRUE, "Evening", "Night")))</f>
        <v>Afternoon</v>
      </c>
      <c r="G481" t="s">
        <v>11</v>
      </c>
      <c r="H481" t="str">
        <f>_xlfn.XLOOKUP(AllDataApr[[#This Row],[Location Name]], Locations[Row Labels],Locations[Group As])</f>
        <v>Black Bear</v>
      </c>
      <c r="I481" t="str">
        <f>_xlfn.XLOOKUP(AllDataApr[[#This Row],[Site Name]],LocationsKey[Site Name],LocationsKey[Region])</f>
        <v>Tewkesbury</v>
      </c>
      <c r="J481" t="str">
        <f>_xlfn.XLOOKUP(AllDataApr[[#This Row],[Site Name]],LocationsKey[Site Name], LocationsKey[Waterway])</f>
        <v>Avon</v>
      </c>
      <c r="K481" t="s">
        <v>231</v>
      </c>
      <c r="L481">
        <v>51.997199999999999</v>
      </c>
      <c r="M481">
        <v>-2.1560839999999999</v>
      </c>
      <c r="N481" t="s">
        <v>200</v>
      </c>
      <c r="O481">
        <v>780</v>
      </c>
      <c r="P481">
        <v>9.8000000000000007</v>
      </c>
      <c r="Q481">
        <v>5</v>
      </c>
      <c r="R481" s="7" t="str">
        <f>IF(AllDataApr[[#This Row],[Nitrate (PPM)]]&gt;2, "Very high", IF(AllDataApr[[#This Row],[Nitrate (PPM)]]&gt;1, "High", IF(AllDataApr[[#This Row],[Nitrate (PPM)]]&gt;0.5, "Some evidence", IF(AllDataApr[[#This Row],[Nitrate (PPM)]]&gt;0, "No evidence", IF(AllDataApr[[#This Row],[Nitrate (PPM)]]=0, "")))))</f>
        <v>Very high</v>
      </c>
      <c r="S481">
        <v>0.48</v>
      </c>
      <c r="T481" s="7" t="str">
        <f>IF(AllDataApr[[#This Row],[Phosphate (PPM)]]&gt;0.5, "Very high", IF(AllDataApr[[#This Row],[Phosphate (PPM)]]&gt;0.1, "High", IF(AllDataApr[[#This Row],[Phosphate (PPM)]]&gt;0.05, "Some evidence", IF(AllDataApr[[#This Row],[Phosphate (PPM)]]=0, ""))))</f>
        <v>High</v>
      </c>
      <c r="U481">
        <v>0</v>
      </c>
    </row>
    <row r="482" spans="1:22" x14ac:dyDescent="0.3">
      <c r="A482" t="s">
        <v>423</v>
      </c>
      <c r="B482" s="2">
        <v>45361</v>
      </c>
      <c r="C482" s="2" t="str" cm="1">
        <f t="array" ref="C48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82">
        <f>YEAR(AllDataApr[[#This Row],[Date]])</f>
        <v>2024</v>
      </c>
      <c r="E482" s="1">
        <v>0.5625</v>
      </c>
      <c r="F482" s="2" t="str">
        <f>IF(AND(AllDataApr[[#This Row],[Time]]&lt;0.5, AllDataApr[[#This Row],[Time]]&gt;0.17)=TRUE, "Morning", IF(AND(AllDataApr[[#This Row],[Time]]&lt;0.75, AllDataApr[[#This Row],[Time]]&gt;=0.5)=TRUE, "Afternoon", IF(AND(AllDataApr[[#This Row],[Time]]&lt;1, AllDataApr[[#This Row],[Time]]&gt;=0.75)=TRUE, "Evening", "Night")))</f>
        <v>Afternoon</v>
      </c>
      <c r="G482" t="s">
        <v>112</v>
      </c>
      <c r="H482" t="str">
        <f>_xlfn.XLOOKUP(AllDataApr[[#This Row],[Location Name]], Locations[Row Labels],Locations[Group As])</f>
        <v>Clifford Chambers Mill Bridge</v>
      </c>
      <c r="I482" t="str">
        <f>_xlfn.XLOOKUP(AllDataApr[[#This Row],[Site Name]],LocationsKey[Site Name],LocationsKey[Region])</f>
        <v>Stratford</v>
      </c>
      <c r="J482" t="str">
        <f>_xlfn.XLOOKUP(AllDataApr[[#This Row],[Site Name]],LocationsKey[Site Name], LocationsKey[Waterway])</f>
        <v>Stour</v>
      </c>
      <c r="K482" t="s">
        <v>119</v>
      </c>
      <c r="L482">
        <v>52.166370000000001</v>
      </c>
      <c r="M482">
        <v>-1.708032</v>
      </c>
      <c r="N482" t="s">
        <v>1047</v>
      </c>
      <c r="O482">
        <v>665</v>
      </c>
      <c r="P482">
        <v>9.1999999999999993</v>
      </c>
      <c r="Q482">
        <v>10</v>
      </c>
      <c r="R482" s="7" t="str">
        <f>IF(AllDataApr[[#This Row],[Nitrate (PPM)]]&gt;2, "Very high", IF(AllDataApr[[#This Row],[Nitrate (PPM)]]&gt;1, "High", IF(AllDataApr[[#This Row],[Nitrate (PPM)]]&gt;0.5, "Some evidence", IF(AllDataApr[[#This Row],[Nitrate (PPM)]]&gt;0, "No evidence", IF(AllDataApr[[#This Row],[Nitrate (PPM)]]=0, "")))))</f>
        <v>Very high</v>
      </c>
      <c r="S482">
        <v>0.22</v>
      </c>
      <c r="T482" s="7" t="str">
        <f>IF(AllDataApr[[#This Row],[Phosphate (PPM)]]&gt;0.5, "Very high", IF(AllDataApr[[#This Row],[Phosphate (PPM)]]&gt;0.1, "High", IF(AllDataApr[[#This Row],[Phosphate (PPM)]]&gt;0.05, "Some evidence", IF(AllDataApr[[#This Row],[Phosphate (PPM)]]=0, ""))))</f>
        <v>High</v>
      </c>
      <c r="U482">
        <v>1.2</v>
      </c>
      <c r="V482" t="s">
        <v>992</v>
      </c>
    </row>
    <row r="483" spans="1:22" x14ac:dyDescent="0.3">
      <c r="A483" t="s">
        <v>1192</v>
      </c>
      <c r="B483" s="2">
        <v>45361</v>
      </c>
      <c r="C483" s="2" t="str" cm="1">
        <f t="array" ref="C48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83">
        <f>YEAR(AllDataApr[[#This Row],[Date]])</f>
        <v>2024</v>
      </c>
      <c r="E483" s="1">
        <v>0.58333333333333337</v>
      </c>
      <c r="F483" s="2" t="str">
        <f>IF(AND(AllDataApr[[#This Row],[Time]]&lt;0.5, AllDataApr[[#This Row],[Time]]&gt;0.17)=TRUE, "Morning", IF(AND(AllDataApr[[#This Row],[Time]]&lt;0.75, AllDataApr[[#This Row],[Time]]&gt;=0.5)=TRUE, "Afternoon", IF(AND(AllDataApr[[#This Row],[Time]]&lt;1, AllDataApr[[#This Row],[Time]]&gt;=0.75)=TRUE, "Evening", "Night")))</f>
        <v>Afternoon</v>
      </c>
      <c r="G483" t="s">
        <v>1253</v>
      </c>
      <c r="H483" t="str">
        <f>_xlfn.XLOOKUP(AllDataApr[[#This Row],[Location Name]], Locations[Row Labels],Locations[Group As])</f>
        <v>Avonbank Drive</v>
      </c>
      <c r="I483" t="str">
        <f>_xlfn.XLOOKUP(AllDataApr[[#This Row],[Site Name]],LocationsKey[Site Name],LocationsKey[Region])</f>
        <v>Stratford</v>
      </c>
      <c r="J483" t="str">
        <f>_xlfn.XLOOKUP(AllDataApr[[#This Row],[Site Name]],LocationsKey[Site Name], LocationsKey[Waterway])</f>
        <v>Avon</v>
      </c>
      <c r="K483" t="s">
        <v>71</v>
      </c>
      <c r="L483">
        <v>43.328878000000003</v>
      </c>
      <c r="M483">
        <v>-81.129401000000001</v>
      </c>
      <c r="N483" t="s">
        <v>42</v>
      </c>
      <c r="O483" s="177">
        <v>897</v>
      </c>
      <c r="P483">
        <v>14.8</v>
      </c>
      <c r="Q483" s="177">
        <v>10</v>
      </c>
      <c r="R483" s="7" t="str">
        <f>IF(AllDataApr[[#This Row],[Nitrate (PPM)]]&gt;2, "Very high", IF(AllDataApr[[#This Row],[Nitrate (PPM)]]&gt;1, "High", IF(AllDataApr[[#This Row],[Nitrate (PPM)]]&gt;0.5, "Some evidence", IF(AllDataApr[[#This Row],[Nitrate (PPM)]]&gt;0, "No evidence", IF(AllDataApr[[#This Row],[Nitrate (PPM)]]=0, "")))))</f>
        <v>Very high</v>
      </c>
      <c r="S483" s="177">
        <v>0.47</v>
      </c>
      <c r="T483" s="7" t="str">
        <f>IF(AllDataApr[[#This Row],[Phosphate (PPM)]]&gt;0.5, "Very high", IF(AllDataApr[[#This Row],[Phosphate (PPM)]]&gt;0.1, "High", IF(AllDataApr[[#This Row],[Phosphate (PPM)]]&gt;0.05, "Some evidence", IF(AllDataApr[[#This Row],[Phosphate (PPM)]]=0, ""))))</f>
        <v>High</v>
      </c>
      <c r="U483">
        <v>1</v>
      </c>
    </row>
    <row r="484" spans="1:22" x14ac:dyDescent="0.3">
      <c r="A484" t="s">
        <v>1193</v>
      </c>
      <c r="B484" s="2">
        <v>45361</v>
      </c>
      <c r="C484" s="2" t="str" cm="1">
        <f t="array" ref="C48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84">
        <f>YEAR(AllDataApr[[#This Row],[Date]])</f>
        <v>2024</v>
      </c>
      <c r="E484" s="1">
        <v>0.58333333333333337</v>
      </c>
      <c r="F484" s="2" t="str">
        <f>IF(AND(AllDataApr[[#This Row],[Time]]&lt;0.5, AllDataApr[[#This Row],[Time]]&gt;0.17)=TRUE, "Morning", IF(AND(AllDataApr[[#This Row],[Time]]&lt;0.75, AllDataApr[[#This Row],[Time]]&gt;=0.5)=TRUE, "Afternoon", IF(AND(AllDataApr[[#This Row],[Time]]&lt;1, AllDataApr[[#This Row],[Time]]&gt;=0.75)=TRUE, "Evening", "Night")))</f>
        <v>Afternoon</v>
      </c>
      <c r="G484" t="s">
        <v>1253</v>
      </c>
      <c r="H484" t="str">
        <f>_xlfn.XLOOKUP(AllDataApr[[#This Row],[Location Name]], Locations[Row Labels],Locations[Group As])</f>
        <v>Pitch 16</v>
      </c>
      <c r="I484" t="str">
        <f>_xlfn.XLOOKUP(AllDataApr[[#This Row],[Site Name]],LocationsKey[Site Name],LocationsKey[Region])</f>
        <v>Stratford</v>
      </c>
      <c r="J484" t="str">
        <f>_xlfn.XLOOKUP(AllDataApr[[#This Row],[Site Name]],LocationsKey[Site Name], LocationsKey[Waterway])</f>
        <v>Avon</v>
      </c>
      <c r="K484" t="s">
        <v>39</v>
      </c>
      <c r="L484">
        <v>50.831715000000003</v>
      </c>
      <c r="M484">
        <v>-0.306093</v>
      </c>
      <c r="N484" t="s">
        <v>18</v>
      </c>
      <c r="O484" s="177">
        <v>873</v>
      </c>
      <c r="P484">
        <v>12.8</v>
      </c>
      <c r="Q484" s="177">
        <v>10</v>
      </c>
      <c r="R484" s="7" t="str">
        <f>IF(AllDataApr[[#This Row],[Nitrate (PPM)]]&gt;2, "Very high", IF(AllDataApr[[#This Row],[Nitrate (PPM)]]&gt;1, "High", IF(AllDataApr[[#This Row],[Nitrate (PPM)]]&gt;0.5, "Some evidence", IF(AllDataApr[[#This Row],[Nitrate (PPM)]]&gt;0, "No evidence", IF(AllDataApr[[#This Row],[Nitrate (PPM)]]=0, "")))))</f>
        <v>Very high</v>
      </c>
      <c r="S484" s="177">
        <v>0.43</v>
      </c>
      <c r="T484" s="7" t="str">
        <f>IF(AllDataApr[[#This Row],[Phosphate (PPM)]]&gt;0.5, "Very high", IF(AllDataApr[[#This Row],[Phosphate (PPM)]]&gt;0.1, "High", IF(AllDataApr[[#This Row],[Phosphate (PPM)]]&gt;0.05, "Some evidence", IF(AllDataApr[[#This Row],[Phosphate (PPM)]]=0, ""))))</f>
        <v>High</v>
      </c>
      <c r="U484">
        <v>1</v>
      </c>
    </row>
    <row r="485" spans="1:22" x14ac:dyDescent="0.3">
      <c r="A485" t="s">
        <v>357</v>
      </c>
      <c r="B485" s="2">
        <v>45361</v>
      </c>
      <c r="C485" s="2" t="str" cm="1">
        <f t="array" ref="C48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85">
        <f>YEAR(AllDataApr[[#This Row],[Date]])</f>
        <v>2024</v>
      </c>
      <c r="E485" s="1">
        <v>0.625</v>
      </c>
      <c r="F485" s="2" t="str">
        <f>IF(AND(AllDataApr[[#This Row],[Time]]&lt;0.5, AllDataApr[[#This Row],[Time]]&gt;0.17)=TRUE, "Morning", IF(AND(AllDataApr[[#This Row],[Time]]&lt;0.75, AllDataApr[[#This Row],[Time]]&gt;=0.5)=TRUE, "Afternoon", IF(AND(AllDataApr[[#This Row],[Time]]&lt;1, AllDataApr[[#This Row],[Time]]&gt;=0.75)=TRUE, "Evening", "Night")))</f>
        <v>Afternoon</v>
      </c>
      <c r="G485" t="s">
        <v>275</v>
      </c>
      <c r="H485" t="str">
        <f>_xlfn.XLOOKUP(AllDataApr[[#This Row],[Location Name]], Locations[Row Labels],Locations[Group As])</f>
        <v>Sherbourne Brook 1</v>
      </c>
      <c r="I485" t="str">
        <f>_xlfn.XLOOKUP(AllDataApr[[#This Row],[Site Name]],LocationsKey[Site Name],LocationsKey[Region])</f>
        <v>Stratford</v>
      </c>
      <c r="J485" t="str">
        <f>_xlfn.XLOOKUP(AllDataApr[[#This Row],[Site Name]],LocationsKey[Site Name], LocationsKey[Waterway])</f>
        <v>Sherbourne Brook</v>
      </c>
      <c r="K485" t="s">
        <v>280</v>
      </c>
      <c r="N485" t="s">
        <v>200</v>
      </c>
      <c r="O485">
        <v>456</v>
      </c>
      <c r="P485">
        <v>8.8000000000000007</v>
      </c>
      <c r="Q485">
        <v>4</v>
      </c>
      <c r="R485" s="7" t="str">
        <f>IF(AllDataApr[[#This Row],[Nitrate (PPM)]]&gt;2, "Very high", IF(AllDataApr[[#This Row],[Nitrate (PPM)]]&gt;1, "High", IF(AllDataApr[[#This Row],[Nitrate (PPM)]]&gt;0.5, "Some evidence", IF(AllDataApr[[#This Row],[Nitrate (PPM)]]&gt;0, "No evidence", IF(AllDataApr[[#This Row],[Nitrate (PPM)]]=0, "")))))</f>
        <v>Very high</v>
      </c>
      <c r="S485">
        <v>0.84</v>
      </c>
      <c r="T485" s="7" t="str">
        <f>IF(AllDataApr[[#This Row],[Phosphate (PPM)]]&gt;0.5, "Very high", IF(AllDataApr[[#This Row],[Phosphate (PPM)]]&gt;0.1, "High", IF(AllDataApr[[#This Row],[Phosphate (PPM)]]&gt;0.05, "Some evidence", IF(AllDataApr[[#This Row],[Phosphate (PPM)]]=0, ""))))</f>
        <v>Very high</v>
      </c>
      <c r="U485">
        <v>1</v>
      </c>
      <c r="V485" t="s">
        <v>960</v>
      </c>
    </row>
    <row r="486" spans="1:22" x14ac:dyDescent="0.3">
      <c r="A486" t="s">
        <v>356</v>
      </c>
      <c r="B486" s="2">
        <v>45361</v>
      </c>
      <c r="C486" s="2" t="str" cm="1">
        <f t="array" ref="C48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86">
        <f>YEAR(AllDataApr[[#This Row],[Date]])</f>
        <v>2024</v>
      </c>
      <c r="E486" s="1">
        <v>0.63541666666666663</v>
      </c>
      <c r="F486" s="2" t="str">
        <f>IF(AND(AllDataApr[[#This Row],[Time]]&lt;0.5, AllDataApr[[#This Row],[Time]]&gt;0.17)=TRUE, "Morning", IF(AND(AllDataApr[[#This Row],[Time]]&lt;0.75, AllDataApr[[#This Row],[Time]]&gt;=0.5)=TRUE, "Afternoon", IF(AND(AllDataApr[[#This Row],[Time]]&lt;1, AllDataApr[[#This Row],[Time]]&gt;=0.75)=TRUE, "Evening", "Night")))</f>
        <v>Afternoon</v>
      </c>
      <c r="G486" t="s">
        <v>275</v>
      </c>
      <c r="H486" t="str">
        <f>_xlfn.XLOOKUP(AllDataApr[[#This Row],[Location Name]], Locations[Row Labels],Locations[Group As])</f>
        <v>Bell Brook 1</v>
      </c>
      <c r="I486" t="str">
        <f>_xlfn.XLOOKUP(AllDataApr[[#This Row],[Site Name]],LocationsKey[Site Name],LocationsKey[Region])</f>
        <v>Stratford</v>
      </c>
      <c r="J486" t="str">
        <f>_xlfn.XLOOKUP(AllDataApr[[#This Row],[Site Name]],LocationsKey[Site Name], LocationsKey[Waterway])</f>
        <v>Bell Brook</v>
      </c>
      <c r="K486" t="s">
        <v>279</v>
      </c>
      <c r="N486" t="s">
        <v>200</v>
      </c>
      <c r="O486">
        <v>602</v>
      </c>
      <c r="P486">
        <v>9.6999999999999993</v>
      </c>
      <c r="Q486">
        <v>4</v>
      </c>
      <c r="R486" s="7" t="str">
        <f>IF(AllDataApr[[#This Row],[Nitrate (PPM)]]&gt;2, "Very high", IF(AllDataApr[[#This Row],[Nitrate (PPM)]]&gt;1, "High", IF(AllDataApr[[#This Row],[Nitrate (PPM)]]&gt;0.5, "Some evidence", IF(AllDataApr[[#This Row],[Nitrate (PPM)]]&gt;0, "No evidence", IF(AllDataApr[[#This Row],[Nitrate (PPM)]]=0, "")))))</f>
        <v>Very high</v>
      </c>
      <c r="S486">
        <v>0.67</v>
      </c>
      <c r="T486" s="7" t="str">
        <f>IF(AllDataApr[[#This Row],[Phosphate (PPM)]]&gt;0.5, "Very high", IF(AllDataApr[[#This Row],[Phosphate (PPM)]]&gt;0.1, "High", IF(AllDataApr[[#This Row],[Phosphate (PPM)]]&gt;0.05, "Some evidence", IF(AllDataApr[[#This Row],[Phosphate (PPM)]]=0, ""))))</f>
        <v>Very high</v>
      </c>
      <c r="U486">
        <v>1</v>
      </c>
      <c r="V486" t="s">
        <v>960</v>
      </c>
    </row>
    <row r="487" spans="1:22" x14ac:dyDescent="0.3">
      <c r="A487" t="s">
        <v>422</v>
      </c>
      <c r="B487" s="2">
        <v>45362</v>
      </c>
      <c r="C487" s="2" t="str" cm="1">
        <f t="array" ref="C48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87">
        <f>YEAR(AllDataApr[[#This Row],[Date]])</f>
        <v>2024</v>
      </c>
      <c r="E487" s="1">
        <v>0.37569444444444444</v>
      </c>
      <c r="F487" s="2" t="str">
        <f>IF(AND(AllDataApr[[#This Row],[Time]]&lt;0.5, AllDataApr[[#This Row],[Time]]&gt;0.17)=TRUE, "Morning", IF(AND(AllDataApr[[#This Row],[Time]]&lt;0.75, AllDataApr[[#This Row],[Time]]&gt;=0.5)=TRUE, "Afternoon", IF(AND(AllDataApr[[#This Row],[Time]]&lt;1, AllDataApr[[#This Row],[Time]]&gt;=0.75)=TRUE, "Evening", "Night")))</f>
        <v>Morning</v>
      </c>
      <c r="G487" t="s">
        <v>150</v>
      </c>
      <c r="H487" t="str">
        <f>_xlfn.XLOOKUP(AllDataApr[[#This Row],[Location Name]], Locations[Row Labels],Locations[Group As])</f>
        <v>Stour Stretton-on-Fosse Village</v>
      </c>
      <c r="I487" t="str">
        <f>_xlfn.XLOOKUP(AllDataApr[[#This Row],[Site Name]],LocationsKey[Site Name],LocationsKey[Region])</f>
        <v>Shipston</v>
      </c>
      <c r="J487" t="str">
        <f>_xlfn.XLOOKUP(AllDataApr[[#This Row],[Site Name]],LocationsKey[Site Name], LocationsKey[Waterway])</f>
        <v>Stour</v>
      </c>
      <c r="K487" t="s">
        <v>198</v>
      </c>
      <c r="L487">
        <v>52.04654</v>
      </c>
      <c r="M487">
        <v>-1.6734340000000001</v>
      </c>
      <c r="N487" t="s">
        <v>42</v>
      </c>
      <c r="O487">
        <v>420</v>
      </c>
      <c r="P487">
        <v>8.1</v>
      </c>
      <c r="Q487">
        <v>0.5</v>
      </c>
      <c r="R487" s="7" t="str">
        <f>IF(AllDataApr[[#This Row],[Nitrate (PPM)]]&gt;2, "Very high", IF(AllDataApr[[#This Row],[Nitrate (PPM)]]&gt;1, "High", IF(AllDataApr[[#This Row],[Nitrate (PPM)]]&gt;0.5, "Some evidence", IF(AllDataApr[[#This Row],[Nitrate (PPM)]]&gt;0, "No evidence", IF(AllDataApr[[#This Row],[Nitrate (PPM)]]=0, "")))))</f>
        <v>No evidence</v>
      </c>
      <c r="S487">
        <v>0.35</v>
      </c>
      <c r="T487" s="7" t="str">
        <f>IF(AllDataApr[[#This Row],[Phosphate (PPM)]]&gt;0.5, "Very high", IF(AllDataApr[[#This Row],[Phosphate (PPM)]]&gt;0.1, "High", IF(AllDataApr[[#This Row],[Phosphate (PPM)]]&gt;0.05, "Some evidence", IF(AllDataApr[[#This Row],[Phosphate (PPM)]]=0, ""))))</f>
        <v>High</v>
      </c>
      <c r="U487">
        <v>0.3</v>
      </c>
    </row>
    <row r="488" spans="1:22" x14ac:dyDescent="0.3">
      <c r="A488" t="s">
        <v>421</v>
      </c>
      <c r="B488" s="2">
        <v>45362</v>
      </c>
      <c r="C488" s="2" t="str" cm="1">
        <f t="array" ref="C48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88">
        <f>YEAR(AllDataApr[[#This Row],[Date]])</f>
        <v>2024</v>
      </c>
      <c r="E488" s="1">
        <v>0.39305555555555555</v>
      </c>
      <c r="F488" s="2" t="str">
        <f>IF(AND(AllDataApr[[#This Row],[Time]]&lt;0.5, AllDataApr[[#This Row],[Time]]&gt;0.17)=TRUE, "Morning", IF(AND(AllDataApr[[#This Row],[Time]]&lt;0.75, AllDataApr[[#This Row],[Time]]&gt;=0.5)=TRUE, "Afternoon", IF(AND(AllDataApr[[#This Row],[Time]]&lt;1, AllDataApr[[#This Row],[Time]]&gt;=0.75)=TRUE, "Evening", "Night")))</f>
        <v>Morning</v>
      </c>
      <c r="G488" t="s">
        <v>150</v>
      </c>
      <c r="H488" t="str">
        <f>_xlfn.XLOOKUP(AllDataApr[[#This Row],[Location Name]], Locations[Row Labels],Locations[Group As])</f>
        <v>Stour Stretton-on-Fosse Sewage Works</v>
      </c>
      <c r="I488" t="str">
        <f>_xlfn.XLOOKUP(AllDataApr[[#This Row],[Site Name]],LocationsKey[Site Name],LocationsKey[Region])</f>
        <v>Shipston</v>
      </c>
      <c r="J488" t="str">
        <f>_xlfn.XLOOKUP(AllDataApr[[#This Row],[Site Name]],LocationsKey[Site Name], LocationsKey[Waterway])</f>
        <v>Stour</v>
      </c>
      <c r="K488" t="s">
        <v>151</v>
      </c>
      <c r="L488">
        <v>52.045644000000003</v>
      </c>
      <c r="M488">
        <v>-1.671867</v>
      </c>
      <c r="N488" t="s">
        <v>18</v>
      </c>
      <c r="O488">
        <v>425</v>
      </c>
      <c r="P488">
        <v>7.1</v>
      </c>
      <c r="Q488">
        <v>2</v>
      </c>
      <c r="R488" s="7" t="str">
        <f>IF(AllDataApr[[#This Row],[Nitrate (PPM)]]&gt;2, "Very high", IF(AllDataApr[[#This Row],[Nitrate (PPM)]]&gt;1, "High", IF(AllDataApr[[#This Row],[Nitrate (PPM)]]&gt;0.5, "Some evidence", IF(AllDataApr[[#This Row],[Nitrate (PPM)]]&gt;0, "No evidence", IF(AllDataApr[[#This Row],[Nitrate (PPM)]]=0, "")))))</f>
        <v>High</v>
      </c>
      <c r="S488">
        <v>0.31</v>
      </c>
      <c r="T488" s="7" t="str">
        <f>IF(AllDataApr[[#This Row],[Phosphate (PPM)]]&gt;0.5, "Very high", IF(AllDataApr[[#This Row],[Phosphate (PPM)]]&gt;0.1, "High", IF(AllDataApr[[#This Row],[Phosphate (PPM)]]&gt;0.05, "Some evidence", IF(AllDataApr[[#This Row],[Phosphate (PPM)]]=0, ""))))</f>
        <v>High</v>
      </c>
      <c r="U488">
        <v>0.4</v>
      </c>
    </row>
    <row r="489" spans="1:22" x14ac:dyDescent="0.3">
      <c r="A489" t="s">
        <v>420</v>
      </c>
      <c r="B489" s="2">
        <v>45362</v>
      </c>
      <c r="C489" s="2" t="str" cm="1">
        <f t="array" ref="C48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89">
        <f>YEAR(AllDataApr[[#This Row],[Date]])</f>
        <v>2024</v>
      </c>
      <c r="E489" s="1">
        <v>0.6694444444444444</v>
      </c>
      <c r="F489" s="2" t="str">
        <f>IF(AND(AllDataApr[[#This Row],[Time]]&lt;0.5, AllDataApr[[#This Row],[Time]]&gt;0.17)=TRUE, "Morning", IF(AND(AllDataApr[[#This Row],[Time]]&lt;0.75, AllDataApr[[#This Row],[Time]]&gt;=0.5)=TRUE, "Afternoon", IF(AND(AllDataApr[[#This Row],[Time]]&lt;1, AllDataApr[[#This Row],[Time]]&gt;=0.75)=TRUE, "Evening", "Night")))</f>
        <v>Afternoon</v>
      </c>
      <c r="G489" t="s">
        <v>274</v>
      </c>
      <c r="H489" t="str">
        <f>_xlfn.XLOOKUP(AllDataApr[[#This Row],[Location Name]], Locations[Row Labels],Locations[Group As])</f>
        <v>Abbey Mill</v>
      </c>
      <c r="I489" t="str">
        <f>_xlfn.XLOOKUP(AllDataApr[[#This Row],[Site Name]],LocationsKey[Site Name],LocationsKey[Region])</f>
        <v>Tewkesbury</v>
      </c>
      <c r="J489" t="str">
        <f>_xlfn.XLOOKUP(AllDataApr[[#This Row],[Site Name]],LocationsKey[Site Name], LocationsKey[Waterway])</f>
        <v>Avon</v>
      </c>
      <c r="K489" t="s">
        <v>13</v>
      </c>
      <c r="L489">
        <v>51.991295000000001</v>
      </c>
      <c r="M489">
        <v>-2.162458</v>
      </c>
      <c r="N489" t="s">
        <v>18</v>
      </c>
      <c r="O489">
        <v>863</v>
      </c>
      <c r="P489">
        <v>9.4</v>
      </c>
      <c r="Q489">
        <v>7</v>
      </c>
      <c r="R489" s="7" t="str">
        <f>IF(AllDataApr[[#This Row],[Nitrate (PPM)]]&gt;2, "Very high", IF(AllDataApr[[#This Row],[Nitrate (PPM)]]&gt;1, "High", IF(AllDataApr[[#This Row],[Nitrate (PPM)]]&gt;0.5, "Some evidence", IF(AllDataApr[[#This Row],[Nitrate (PPM)]]&gt;0, "No evidence", IF(AllDataApr[[#This Row],[Nitrate (PPM)]]=0, "")))))</f>
        <v>Very high</v>
      </c>
      <c r="S489">
        <v>0.5</v>
      </c>
      <c r="T489" s="7" t="str">
        <f>IF(AllDataApr[[#This Row],[Phosphate (PPM)]]&gt;0.5, "Very high", IF(AllDataApr[[#This Row],[Phosphate (PPM)]]&gt;0.1, "High", IF(AllDataApr[[#This Row],[Phosphate (PPM)]]&gt;0.05, "Some evidence", IF(AllDataApr[[#This Row],[Phosphate (PPM)]]=0, ""))))</f>
        <v>High</v>
      </c>
      <c r="U489">
        <v>0.6</v>
      </c>
    </row>
    <row r="490" spans="1:22" x14ac:dyDescent="0.3">
      <c r="A490" t="s">
        <v>419</v>
      </c>
      <c r="B490" s="2">
        <v>45364</v>
      </c>
      <c r="C490" s="2" t="str" cm="1">
        <f t="array" ref="C49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90">
        <f>YEAR(AllDataApr[[#This Row],[Date]])</f>
        <v>2024</v>
      </c>
      <c r="E490" s="1">
        <v>0.52916666666666667</v>
      </c>
      <c r="F490" s="2" t="str">
        <f>IF(AND(AllDataApr[[#This Row],[Time]]&lt;0.5, AllDataApr[[#This Row],[Time]]&gt;0.17)=TRUE, "Morning", IF(AND(AllDataApr[[#This Row],[Time]]&lt;0.75, AllDataApr[[#This Row],[Time]]&gt;=0.5)=TRUE, "Afternoon", IF(AND(AllDataApr[[#This Row],[Time]]&lt;1, AllDataApr[[#This Row],[Time]]&gt;=0.75)=TRUE, "Evening", "Night")))</f>
        <v>Afternoon</v>
      </c>
      <c r="G490" t="s">
        <v>59</v>
      </c>
      <c r="H490" t="str">
        <f>_xlfn.XLOOKUP(AllDataApr[[#This Row],[Location Name]], Locations[Row Labels],Locations[Group As])</f>
        <v>Preston-on-Stour River Bridge</v>
      </c>
      <c r="I490" t="str">
        <f>_xlfn.XLOOKUP(AllDataApr[[#This Row],[Site Name]],LocationsKey[Site Name],LocationsKey[Region])</f>
        <v>Stratford</v>
      </c>
      <c r="J490" t="str">
        <f>_xlfn.XLOOKUP(AllDataApr[[#This Row],[Site Name]],LocationsKey[Site Name], LocationsKey[Waterway])</f>
        <v>Stour</v>
      </c>
      <c r="K490" t="s">
        <v>78</v>
      </c>
      <c r="L490">
        <v>52.146500000000003</v>
      </c>
      <c r="M490">
        <v>-1.6992780000000001</v>
      </c>
      <c r="N490" t="s">
        <v>18</v>
      </c>
      <c r="O490">
        <v>508</v>
      </c>
      <c r="P490">
        <v>10.9</v>
      </c>
      <c r="Q490">
        <v>6</v>
      </c>
      <c r="R490" s="7" t="str">
        <f>IF(AllDataApr[[#This Row],[Nitrate (PPM)]]&gt;2, "Very high", IF(AllDataApr[[#This Row],[Nitrate (PPM)]]&gt;1, "High", IF(AllDataApr[[#This Row],[Nitrate (PPM)]]&gt;0.5, "Some evidence", IF(AllDataApr[[#This Row],[Nitrate (PPM)]]&gt;0, "No evidence", IF(AllDataApr[[#This Row],[Nitrate (PPM)]]=0, "")))))</f>
        <v>Very high</v>
      </c>
      <c r="S490">
        <v>0.32</v>
      </c>
      <c r="T490" s="7" t="str">
        <f>IF(AllDataApr[[#This Row],[Phosphate (PPM)]]&gt;0.5, "Very high", IF(AllDataApr[[#This Row],[Phosphate (PPM)]]&gt;0.1, "High", IF(AllDataApr[[#This Row],[Phosphate (PPM)]]&gt;0.05, "Some evidence", IF(AllDataApr[[#This Row],[Phosphate (PPM)]]=0, ""))))</f>
        <v>High</v>
      </c>
      <c r="U490">
        <v>2</v>
      </c>
      <c r="V490" t="s">
        <v>991</v>
      </c>
    </row>
    <row r="491" spans="1:22" x14ac:dyDescent="0.3">
      <c r="A491" t="s">
        <v>417</v>
      </c>
      <c r="B491" s="2">
        <v>45364</v>
      </c>
      <c r="C491" s="2" t="str" cm="1">
        <f t="array" ref="C49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91">
        <f>YEAR(AllDataApr[[#This Row],[Date]])</f>
        <v>2024</v>
      </c>
      <c r="E491" s="1">
        <v>0.61111111111111116</v>
      </c>
      <c r="F491" s="2" t="str">
        <f>IF(AND(AllDataApr[[#This Row],[Time]]&lt;0.5, AllDataApr[[#This Row],[Time]]&gt;0.17)=TRUE, "Morning", IF(AND(AllDataApr[[#This Row],[Time]]&lt;0.75, AllDataApr[[#This Row],[Time]]&gt;=0.5)=TRUE, "Afternoon", IF(AND(AllDataApr[[#This Row],[Time]]&lt;1, AllDataApr[[#This Row],[Time]]&gt;=0.75)=TRUE, "Evening", "Night")))</f>
        <v>Afternoon</v>
      </c>
      <c r="G491" t="s">
        <v>156</v>
      </c>
      <c r="H491" t="str">
        <f>_xlfn.XLOOKUP(AllDataApr[[#This Row],[Location Name]], Locations[Row Labels],Locations[Group As])</f>
        <v>Alveston Weir</v>
      </c>
      <c r="I491" t="str">
        <f>_xlfn.XLOOKUP(AllDataApr[[#This Row],[Site Name]],LocationsKey[Site Name],LocationsKey[Region])</f>
        <v>Stratford</v>
      </c>
      <c r="J491" t="str">
        <f>_xlfn.XLOOKUP(AllDataApr[[#This Row],[Site Name]],LocationsKey[Site Name], LocationsKey[Waterway])</f>
        <v>Avon</v>
      </c>
      <c r="K491" t="s">
        <v>128</v>
      </c>
      <c r="L491">
        <v>52.212288999999998</v>
      </c>
      <c r="M491">
        <v>-1.660452</v>
      </c>
      <c r="N491" t="s">
        <v>18</v>
      </c>
      <c r="O491">
        <v>464</v>
      </c>
      <c r="P491">
        <v>13.7</v>
      </c>
      <c r="Q491">
        <v>5</v>
      </c>
      <c r="R491" s="7" t="str">
        <f>IF(AllDataApr[[#This Row],[Nitrate (PPM)]]&gt;2, "Very high", IF(AllDataApr[[#This Row],[Nitrate (PPM)]]&gt;1, "High", IF(AllDataApr[[#This Row],[Nitrate (PPM)]]&gt;0.5, "Some evidence", IF(AllDataApr[[#This Row],[Nitrate (PPM)]]&gt;0, "No evidence", IF(AllDataApr[[#This Row],[Nitrate (PPM)]]=0, "")))))</f>
        <v>Very high</v>
      </c>
      <c r="S491">
        <v>0.52</v>
      </c>
      <c r="T491" s="7" t="str">
        <f>IF(AllDataApr[[#This Row],[Phosphate (PPM)]]&gt;0.5, "Very high", IF(AllDataApr[[#This Row],[Phosphate (PPM)]]&gt;0.1, "High", IF(AllDataApr[[#This Row],[Phosphate (PPM)]]&gt;0.05, "Some evidence", IF(AllDataApr[[#This Row],[Phosphate (PPM)]]=0, ""))))</f>
        <v>Very high</v>
      </c>
      <c r="U491">
        <v>1.5</v>
      </c>
      <c r="V491" t="s">
        <v>989</v>
      </c>
    </row>
    <row r="492" spans="1:22" x14ac:dyDescent="0.3">
      <c r="A492" t="s">
        <v>418</v>
      </c>
      <c r="B492" s="2">
        <v>45364</v>
      </c>
      <c r="C492" s="2" t="str" cm="1">
        <f t="array" ref="C49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92">
        <f>YEAR(AllDataApr[[#This Row],[Date]])</f>
        <v>2024</v>
      </c>
      <c r="E492" s="1">
        <v>0.63541666666666663</v>
      </c>
      <c r="F492" s="2" t="str">
        <f>IF(AND(AllDataApr[[#This Row],[Time]]&lt;0.5, AllDataApr[[#This Row],[Time]]&gt;0.17)=TRUE, "Morning", IF(AND(AllDataApr[[#This Row],[Time]]&lt;0.75, AllDataApr[[#This Row],[Time]]&gt;=0.5)=TRUE, "Afternoon", IF(AND(AllDataApr[[#This Row],[Time]]&lt;1, AllDataApr[[#This Row],[Time]]&gt;=0.75)=TRUE, "Evening", "Night")))</f>
        <v>Afternoon</v>
      </c>
      <c r="G492" t="s">
        <v>139</v>
      </c>
      <c r="H492" t="str">
        <f>_xlfn.XLOOKUP(AllDataApr[[#This Row],[Location Name]], Locations[Row Labels],Locations[Group As])</f>
        <v>Swiffen Bank</v>
      </c>
      <c r="I492" t="str">
        <f>_xlfn.XLOOKUP(AllDataApr[[#This Row],[Site Name]],LocationsKey[Site Name],LocationsKey[Region])</f>
        <v>Stratford</v>
      </c>
      <c r="J492" t="str">
        <f>_xlfn.XLOOKUP(AllDataApr[[#This Row],[Site Name]],LocationsKey[Site Name], LocationsKey[Waterway])</f>
        <v>Avon</v>
      </c>
      <c r="K492" t="s">
        <v>130</v>
      </c>
      <c r="L492">
        <v>52.206623999999998</v>
      </c>
      <c r="M492">
        <v>-1.654525</v>
      </c>
      <c r="N492" t="s">
        <v>18</v>
      </c>
      <c r="O492">
        <v>464</v>
      </c>
      <c r="P492">
        <v>12.4</v>
      </c>
      <c r="Q492">
        <v>5</v>
      </c>
      <c r="R492" s="7" t="str">
        <f>IF(AllDataApr[[#This Row],[Nitrate (PPM)]]&gt;2, "Very high", IF(AllDataApr[[#This Row],[Nitrate (PPM)]]&gt;1, "High", IF(AllDataApr[[#This Row],[Nitrate (PPM)]]&gt;0.5, "Some evidence", IF(AllDataApr[[#This Row],[Nitrate (PPM)]]&gt;0, "No evidence", IF(AllDataApr[[#This Row],[Nitrate (PPM)]]=0, "")))))</f>
        <v>Very high</v>
      </c>
      <c r="S492">
        <v>0.25</v>
      </c>
      <c r="T492" s="7" t="str">
        <f>IF(AllDataApr[[#This Row],[Phosphate (PPM)]]&gt;0.5, "Very high", IF(AllDataApr[[#This Row],[Phosphate (PPM)]]&gt;0.1, "High", IF(AllDataApr[[#This Row],[Phosphate (PPM)]]&gt;0.05, "Some evidence", IF(AllDataApr[[#This Row],[Phosphate (PPM)]]=0, ""))))</f>
        <v>High</v>
      </c>
      <c r="U492">
        <v>1.5</v>
      </c>
      <c r="V492" t="s">
        <v>990</v>
      </c>
    </row>
    <row r="493" spans="1:22" x14ac:dyDescent="0.3">
      <c r="A493" t="s">
        <v>416</v>
      </c>
      <c r="B493" s="2">
        <v>45365</v>
      </c>
      <c r="C493" s="2" t="str" cm="1">
        <f t="array" ref="C49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93">
        <f>YEAR(AllDataApr[[#This Row],[Date]])</f>
        <v>2024</v>
      </c>
      <c r="E493" s="1">
        <v>0.47222222222222221</v>
      </c>
      <c r="F493" s="2" t="str">
        <f>IF(AND(AllDataApr[[#This Row],[Time]]&lt;0.5, AllDataApr[[#This Row],[Time]]&gt;0.17)=TRUE, "Morning", IF(AND(AllDataApr[[#This Row],[Time]]&lt;0.75, AllDataApr[[#This Row],[Time]]&gt;=0.5)=TRUE, "Afternoon", IF(AND(AllDataApr[[#This Row],[Time]]&lt;1, AllDataApr[[#This Row],[Time]]&gt;=0.75)=TRUE, "Evening", "Night")))</f>
        <v>Morning</v>
      </c>
      <c r="G493" t="s">
        <v>220</v>
      </c>
      <c r="H493" t="str">
        <f>_xlfn.XLOOKUP(AllDataApr[[#This Row],[Location Name]], Locations[Row Labels],Locations[Group As])</f>
        <v>Stour Willington</v>
      </c>
      <c r="I493" t="str">
        <f>_xlfn.XLOOKUP(AllDataApr[[#This Row],[Site Name]],LocationsKey[Site Name],LocationsKey[Region])</f>
        <v>Shipston</v>
      </c>
      <c r="J493" t="str">
        <f>_xlfn.XLOOKUP(AllDataApr[[#This Row],[Site Name]],LocationsKey[Site Name], LocationsKey[Waterway])</f>
        <v>Stour</v>
      </c>
      <c r="K493" t="s">
        <v>197</v>
      </c>
      <c r="L493">
        <v>52.053604</v>
      </c>
      <c r="M493">
        <v>-1.6202430000000001</v>
      </c>
      <c r="O493">
        <v>563</v>
      </c>
      <c r="P493">
        <v>12.8</v>
      </c>
      <c r="Q493">
        <v>2</v>
      </c>
      <c r="R493" s="7" t="str">
        <f>IF(AllDataApr[[#This Row],[Nitrate (PPM)]]&gt;2, "Very high", IF(AllDataApr[[#This Row],[Nitrate (PPM)]]&gt;1, "High", IF(AllDataApr[[#This Row],[Nitrate (PPM)]]&gt;0.5, "Some evidence", IF(AllDataApr[[#This Row],[Nitrate (PPM)]]&gt;0, "No evidence", IF(AllDataApr[[#This Row],[Nitrate (PPM)]]=0, "")))))</f>
        <v>High</v>
      </c>
      <c r="S493">
        <v>0.21</v>
      </c>
      <c r="T493" s="7" t="str">
        <f>IF(AllDataApr[[#This Row],[Phosphate (PPM)]]&gt;0.5, "Very high", IF(AllDataApr[[#This Row],[Phosphate (PPM)]]&gt;0.1, "High", IF(AllDataApr[[#This Row],[Phosphate (PPM)]]&gt;0.05, "Some evidence", IF(AllDataApr[[#This Row],[Phosphate (PPM)]]=0, ""))))</f>
        <v>High</v>
      </c>
      <c r="U493">
        <v>0.5</v>
      </c>
    </row>
    <row r="494" spans="1:22" x14ac:dyDescent="0.3">
      <c r="A494" t="s">
        <v>407</v>
      </c>
      <c r="B494" s="2">
        <v>45365</v>
      </c>
      <c r="C494" s="2" t="str" cm="1">
        <f t="array" ref="C49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94">
        <f>YEAR(AllDataApr[[#This Row],[Date]])</f>
        <v>2024</v>
      </c>
      <c r="E494" s="1">
        <v>0.70833333333333337</v>
      </c>
      <c r="F494" s="2" t="str">
        <f>IF(AND(AllDataApr[[#This Row],[Time]]&lt;0.5, AllDataApr[[#This Row],[Time]]&gt;0.17)=TRUE, "Morning", IF(AND(AllDataApr[[#This Row],[Time]]&lt;0.75, AllDataApr[[#This Row],[Time]]&gt;=0.5)=TRUE, "Afternoon", IF(AND(AllDataApr[[#This Row],[Time]]&lt;1, AllDataApr[[#This Row],[Time]]&gt;=0.75)=TRUE, "Evening", "Night")))</f>
        <v>Afternoon</v>
      </c>
      <c r="G494" t="s">
        <v>57</v>
      </c>
      <c r="H494" t="str">
        <f>_xlfn.XLOOKUP(AllDataApr[[#This Row],[Location Name]], Locations[Row Labels],Locations[Group As])</f>
        <v>Stour Newbold Mill</v>
      </c>
      <c r="I494" t="str">
        <f>_xlfn.XLOOKUP(AllDataApr[[#This Row],[Site Name]],LocationsKey[Site Name],LocationsKey[Region])</f>
        <v>Shipston</v>
      </c>
      <c r="J494" t="str">
        <f>_xlfn.XLOOKUP(AllDataApr[[#This Row],[Site Name]],LocationsKey[Site Name], LocationsKey[Waterway])</f>
        <v>Stour</v>
      </c>
      <c r="K494" t="s">
        <v>66</v>
      </c>
      <c r="L494">
        <v>52.112876999999997</v>
      </c>
      <c r="M494">
        <v>-1.6332990000000001</v>
      </c>
      <c r="N494" t="s">
        <v>18</v>
      </c>
      <c r="O494">
        <v>602</v>
      </c>
      <c r="P494">
        <v>13.8</v>
      </c>
      <c r="Q494">
        <v>2</v>
      </c>
      <c r="R494" s="7" t="str">
        <f>IF(AllDataApr[[#This Row],[Nitrate (PPM)]]&gt;2, "Very high", IF(AllDataApr[[#This Row],[Nitrate (PPM)]]&gt;1, "High", IF(AllDataApr[[#This Row],[Nitrate (PPM)]]&gt;0.5, "Some evidence", IF(AllDataApr[[#This Row],[Nitrate (PPM)]]&gt;0, "No evidence", IF(AllDataApr[[#This Row],[Nitrate (PPM)]]=0, "")))))</f>
        <v>High</v>
      </c>
      <c r="S494">
        <v>0.13</v>
      </c>
      <c r="T494" s="7" t="str">
        <f>IF(AllDataApr[[#This Row],[Phosphate (PPM)]]&gt;0.5, "Very high", IF(AllDataApr[[#This Row],[Phosphate (PPM)]]&gt;0.1, "High", IF(AllDataApr[[#This Row],[Phosphate (PPM)]]&gt;0.05, "Some evidence", IF(AllDataApr[[#This Row],[Phosphate (PPM)]]=0, ""))))</f>
        <v>High</v>
      </c>
      <c r="U494">
        <v>2.5</v>
      </c>
      <c r="V494" t="s">
        <v>985</v>
      </c>
    </row>
    <row r="495" spans="1:22" x14ac:dyDescent="0.3">
      <c r="A495" t="s">
        <v>415</v>
      </c>
      <c r="B495" s="2">
        <v>45366</v>
      </c>
      <c r="C495" s="2" t="str" cm="1">
        <f t="array" ref="C49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95">
        <f>YEAR(AllDataApr[[#This Row],[Date]])</f>
        <v>2024</v>
      </c>
      <c r="E495" s="1">
        <v>0.48958333333333331</v>
      </c>
      <c r="F495" s="2" t="str">
        <f>IF(AND(AllDataApr[[#This Row],[Time]]&lt;0.5, AllDataApr[[#This Row],[Time]]&gt;0.17)=TRUE, "Morning", IF(AND(AllDataApr[[#This Row],[Time]]&lt;0.75, AllDataApr[[#This Row],[Time]]&gt;=0.5)=TRUE, "Afternoon", IF(AND(AllDataApr[[#This Row],[Time]]&lt;1, AllDataApr[[#This Row],[Time]]&gt;=0.75)=TRUE, "Evening", "Night")))</f>
        <v>Morning</v>
      </c>
      <c r="G495" t="s">
        <v>903</v>
      </c>
      <c r="H495" t="str">
        <f>_xlfn.XLOOKUP(AllDataApr[[#This Row],[Location Name]], Locations[Row Labels],Locations[Group As])</f>
        <v>Walcot Lane, Bow Brook Ford</v>
      </c>
      <c r="I495" t="str">
        <f>_xlfn.XLOOKUP(AllDataApr[[#This Row],[Site Name]],LocationsKey[Site Name],LocationsKey[Region])</f>
        <v>Pershore</v>
      </c>
      <c r="J495" t="str">
        <f>_xlfn.XLOOKUP(AllDataApr[[#This Row],[Site Name]],LocationsKey[Site Name], LocationsKey[Waterway])</f>
        <v>Bow Brook</v>
      </c>
      <c r="K495" t="s">
        <v>915</v>
      </c>
      <c r="L495">
        <v>52.130482000000001</v>
      </c>
      <c r="M495">
        <v>-2.0784669999999998</v>
      </c>
      <c r="N495" t="s">
        <v>930</v>
      </c>
      <c r="O495">
        <v>808</v>
      </c>
      <c r="P495">
        <v>13.7</v>
      </c>
      <c r="Q495">
        <v>5</v>
      </c>
      <c r="R495" s="7" t="str">
        <f>IF(AllDataApr[[#This Row],[Nitrate (PPM)]]&gt;2, "Very high", IF(AllDataApr[[#This Row],[Nitrate (PPM)]]&gt;1, "High", IF(AllDataApr[[#This Row],[Nitrate (PPM)]]&gt;0.5, "Some evidence", IF(AllDataApr[[#This Row],[Nitrate (PPM)]]&gt;0, "No evidence", IF(AllDataApr[[#This Row],[Nitrate (PPM)]]=0, "")))))</f>
        <v>Very high</v>
      </c>
      <c r="S495">
        <v>0.82</v>
      </c>
      <c r="T495" s="7" t="str">
        <f>IF(AllDataApr[[#This Row],[Phosphate (PPM)]]&gt;0.5, "Very high", IF(AllDataApr[[#This Row],[Phosphate (PPM)]]&gt;0.1, "High", IF(AllDataApr[[#This Row],[Phosphate (PPM)]]&gt;0.05, "Some evidence", IF(AllDataApr[[#This Row],[Phosphate (PPM)]]=0, ""))))</f>
        <v>Very high</v>
      </c>
      <c r="U495">
        <v>0.6</v>
      </c>
      <c r="V495" t="s">
        <v>988</v>
      </c>
    </row>
    <row r="496" spans="1:22" x14ac:dyDescent="0.3">
      <c r="A496" t="s">
        <v>414</v>
      </c>
      <c r="B496" s="2">
        <v>45366</v>
      </c>
      <c r="C496" s="2" t="str" cm="1">
        <f t="array" ref="C49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96">
        <f>YEAR(AllDataApr[[#This Row],[Date]])</f>
        <v>2024</v>
      </c>
      <c r="E496" s="1">
        <v>0.65972222222222221</v>
      </c>
      <c r="F496" s="2" t="str">
        <f>IF(AND(AllDataApr[[#This Row],[Time]]&lt;0.5, AllDataApr[[#This Row],[Time]]&gt;0.17)=TRUE, "Morning", IF(AND(AllDataApr[[#This Row],[Time]]&lt;0.75, AllDataApr[[#This Row],[Time]]&gt;=0.5)=TRUE, "Afternoon", IF(AND(AllDataApr[[#This Row],[Time]]&lt;1, AllDataApr[[#This Row],[Time]]&gt;=0.75)=TRUE, "Evening", "Night")))</f>
        <v>Afternoon</v>
      </c>
      <c r="G496" t="s">
        <v>906</v>
      </c>
      <c r="H496" t="str">
        <f>_xlfn.XLOOKUP(AllDataApr[[#This Row],[Location Name]], Locations[Row Labels],Locations[Group As])</f>
        <v>Preston Bagot Canal</v>
      </c>
      <c r="I496" t="str">
        <f>_xlfn.XLOOKUP(AllDataApr[[#This Row],[Site Name]],LocationsKey[Site Name],LocationsKey[Region])</f>
        <v>Henley-in-Arden</v>
      </c>
      <c r="J496" t="str">
        <f>_xlfn.XLOOKUP(AllDataApr[[#This Row],[Site Name]],LocationsKey[Site Name], LocationsKey[Waterway])</f>
        <v>Preston Bagot Canal</v>
      </c>
      <c r="K496" t="s">
        <v>922</v>
      </c>
      <c r="N496" t="s">
        <v>200</v>
      </c>
      <c r="O496">
        <v>312</v>
      </c>
      <c r="P496">
        <v>12.7</v>
      </c>
      <c r="Q496">
        <v>2</v>
      </c>
      <c r="R496" s="7" t="str">
        <f>IF(AllDataApr[[#This Row],[Nitrate (PPM)]]&gt;2, "Very high", IF(AllDataApr[[#This Row],[Nitrate (PPM)]]&gt;1, "High", IF(AllDataApr[[#This Row],[Nitrate (PPM)]]&gt;0.5, "Some evidence", IF(AllDataApr[[#This Row],[Nitrate (PPM)]]&gt;0, "No evidence", IF(AllDataApr[[#This Row],[Nitrate (PPM)]]=0, "")))))</f>
        <v>High</v>
      </c>
      <c r="S496">
        <v>0.13</v>
      </c>
      <c r="T496" s="7" t="str">
        <f>IF(AllDataApr[[#This Row],[Phosphate (PPM)]]&gt;0.5, "Very high", IF(AllDataApr[[#This Row],[Phosphate (PPM)]]&gt;0.1, "High", IF(AllDataApr[[#This Row],[Phosphate (PPM)]]&gt;0.05, "Some evidence", IF(AllDataApr[[#This Row],[Phosphate (PPM)]]=0, ""))))</f>
        <v>High</v>
      </c>
      <c r="U496">
        <v>0</v>
      </c>
    </row>
    <row r="497" spans="1:22" x14ac:dyDescent="0.3">
      <c r="A497" t="s">
        <v>413</v>
      </c>
      <c r="B497" s="2">
        <v>45366</v>
      </c>
      <c r="C497" s="2" t="str" cm="1">
        <f t="array" ref="C49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97">
        <f>YEAR(AllDataApr[[#This Row],[Date]])</f>
        <v>2024</v>
      </c>
      <c r="E497" s="1">
        <v>0.66666666666666663</v>
      </c>
      <c r="F497" s="2" t="str">
        <f>IF(AND(AllDataApr[[#This Row],[Time]]&lt;0.5, AllDataApr[[#This Row],[Time]]&gt;0.17)=TRUE, "Morning", IF(AND(AllDataApr[[#This Row],[Time]]&lt;0.75, AllDataApr[[#This Row],[Time]]&gt;=0.5)=TRUE, "Afternoon", IF(AND(AllDataApr[[#This Row],[Time]]&lt;1, AllDataApr[[#This Row],[Time]]&gt;=0.75)=TRUE, "Evening", "Night")))</f>
        <v>Afternoon</v>
      </c>
      <c r="G497" t="s">
        <v>906</v>
      </c>
      <c r="H497" t="str">
        <f>_xlfn.XLOOKUP(AllDataApr[[#This Row],[Location Name]], Locations[Row Labels],Locations[Group As])</f>
        <v>Preston Bagot Brook</v>
      </c>
      <c r="I497" t="str">
        <f>_xlfn.XLOOKUP(AllDataApr[[#This Row],[Site Name]],LocationsKey[Site Name],LocationsKey[Region])</f>
        <v>Henley-in-Arden</v>
      </c>
      <c r="J497" t="str">
        <f>_xlfn.XLOOKUP(AllDataApr[[#This Row],[Site Name]],LocationsKey[Site Name], LocationsKey[Waterway])</f>
        <v>Preston Bagot Brook</v>
      </c>
      <c r="K497" t="s">
        <v>921</v>
      </c>
      <c r="N497" t="s">
        <v>200</v>
      </c>
      <c r="O497">
        <v>597</v>
      </c>
      <c r="P497">
        <v>13</v>
      </c>
      <c r="Q497">
        <v>2.5</v>
      </c>
      <c r="R497" s="7" t="str">
        <f>IF(AllDataApr[[#This Row],[Nitrate (PPM)]]&gt;2, "Very high", IF(AllDataApr[[#This Row],[Nitrate (PPM)]]&gt;1, "High", IF(AllDataApr[[#This Row],[Nitrate (PPM)]]&gt;0.5, "Some evidence", IF(AllDataApr[[#This Row],[Nitrate (PPM)]]&gt;0, "No evidence", IF(AllDataApr[[#This Row],[Nitrate (PPM)]]=0, "")))))</f>
        <v>Very high</v>
      </c>
      <c r="S497">
        <v>1</v>
      </c>
      <c r="T497" s="7" t="str">
        <f>IF(AllDataApr[[#This Row],[Phosphate (PPM)]]&gt;0.5, "Very high", IF(AllDataApr[[#This Row],[Phosphate (PPM)]]&gt;0.1, "High", IF(AllDataApr[[#This Row],[Phosphate (PPM)]]&gt;0.05, "Some evidence", IF(AllDataApr[[#This Row],[Phosphate (PPM)]]=0, ""))))</f>
        <v>Very high</v>
      </c>
      <c r="U497">
        <v>0</v>
      </c>
    </row>
    <row r="498" spans="1:22" x14ac:dyDescent="0.3">
      <c r="A498" t="s">
        <v>412</v>
      </c>
      <c r="B498" s="2">
        <v>45367</v>
      </c>
      <c r="C498" s="2" t="str" cm="1">
        <f t="array" ref="C49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98">
        <f>YEAR(AllDataApr[[#This Row],[Date]])</f>
        <v>2024</v>
      </c>
      <c r="E498" s="1">
        <v>0.41249999999999998</v>
      </c>
      <c r="F498" s="2" t="str">
        <f>IF(AND(AllDataApr[[#This Row],[Time]]&lt;0.5, AllDataApr[[#This Row],[Time]]&gt;0.17)=TRUE, "Morning", IF(AND(AllDataApr[[#This Row],[Time]]&lt;0.75, AllDataApr[[#This Row],[Time]]&gt;=0.5)=TRUE, "Afternoon", IF(AND(AllDataApr[[#This Row],[Time]]&lt;1, AllDataApr[[#This Row],[Time]]&gt;=0.75)=TRUE, "Evening", "Night")))</f>
        <v>Morning</v>
      </c>
      <c r="G498" t="s">
        <v>221</v>
      </c>
      <c r="H498" t="str">
        <f>_xlfn.XLOOKUP(AllDataApr[[#This Row],[Location Name]], Locations[Row Labels],Locations[Group As])</f>
        <v>Lower Lode</v>
      </c>
      <c r="I498" t="str">
        <f>_xlfn.XLOOKUP(AllDataApr[[#This Row],[Site Name]],LocationsKey[Site Name],LocationsKey[Region])</f>
        <v>Tewkesbury</v>
      </c>
      <c r="J498" t="str">
        <f>_xlfn.XLOOKUP(AllDataApr[[#This Row],[Site Name]],LocationsKey[Site Name], LocationsKey[Waterway])</f>
        <v>Avon</v>
      </c>
      <c r="K498" t="s">
        <v>234</v>
      </c>
      <c r="L498">
        <v>51.985084999999998</v>
      </c>
      <c r="M498">
        <v>-2.1741769999999998</v>
      </c>
      <c r="N498" t="s">
        <v>18</v>
      </c>
      <c r="O498">
        <v>6390.1</v>
      </c>
      <c r="P498">
        <v>11.5</v>
      </c>
      <c r="Q498">
        <v>20</v>
      </c>
      <c r="R498" s="7" t="str">
        <f>IF(AllDataApr[[#This Row],[Nitrate (PPM)]]&gt;2, "Very high", IF(AllDataApr[[#This Row],[Nitrate (PPM)]]&gt;1, "High", IF(AllDataApr[[#This Row],[Nitrate (PPM)]]&gt;0.5, "Some evidence", IF(AllDataApr[[#This Row],[Nitrate (PPM)]]&gt;0, "No evidence", IF(AllDataApr[[#This Row],[Nitrate (PPM)]]=0, "")))))</f>
        <v>Very high</v>
      </c>
      <c r="S498">
        <v>0.55000000000000004</v>
      </c>
      <c r="T498" s="7" t="str">
        <f>IF(AllDataApr[[#This Row],[Phosphate (PPM)]]&gt;0.5, "Very high", IF(AllDataApr[[#This Row],[Phosphate (PPM)]]&gt;0.1, "High", IF(AllDataApr[[#This Row],[Phosphate (PPM)]]&gt;0.05, "Some evidence", IF(AllDataApr[[#This Row],[Phosphate (PPM)]]=0, ""))))</f>
        <v>Very high</v>
      </c>
      <c r="U498">
        <v>3</v>
      </c>
    </row>
    <row r="499" spans="1:22" x14ac:dyDescent="0.3">
      <c r="A499" t="s">
        <v>411</v>
      </c>
      <c r="B499" s="2">
        <v>45367</v>
      </c>
      <c r="C499" s="2" t="str" cm="1">
        <f t="array" ref="C49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499">
        <f>YEAR(AllDataApr[[#This Row],[Date]])</f>
        <v>2024</v>
      </c>
      <c r="E499" s="1">
        <v>0.44444444444444442</v>
      </c>
      <c r="F499" s="2" t="str">
        <f>IF(AND(AllDataApr[[#This Row],[Time]]&lt;0.5, AllDataApr[[#This Row],[Time]]&gt;0.17)=TRUE, "Morning", IF(AND(AllDataApr[[#This Row],[Time]]&lt;0.75, AllDataApr[[#This Row],[Time]]&gt;=0.5)=TRUE, "Afternoon", IF(AND(AllDataApr[[#This Row],[Time]]&lt;1, AllDataApr[[#This Row],[Time]]&gt;=0.75)=TRUE, "Evening", "Night")))</f>
        <v>Morning</v>
      </c>
      <c r="G499" t="s">
        <v>11</v>
      </c>
      <c r="H499" t="str">
        <f>_xlfn.XLOOKUP(AllDataApr[[#This Row],[Location Name]], Locations[Row Labels],Locations[Group As])</f>
        <v>Swilgate</v>
      </c>
      <c r="I499" t="str">
        <f>_xlfn.XLOOKUP(AllDataApr[[#This Row],[Site Name]],LocationsKey[Site Name],LocationsKey[Region])</f>
        <v>Tewkesbury</v>
      </c>
      <c r="J499" t="str">
        <f>_xlfn.XLOOKUP(AllDataApr[[#This Row],[Site Name]],LocationsKey[Site Name], LocationsKey[Waterway])</f>
        <v>Swilgate</v>
      </c>
      <c r="K499" t="s">
        <v>47</v>
      </c>
      <c r="N499" t="s">
        <v>200</v>
      </c>
      <c r="O499">
        <v>764</v>
      </c>
      <c r="P499">
        <v>11.4</v>
      </c>
      <c r="Q499">
        <v>5</v>
      </c>
      <c r="R499" s="7" t="str">
        <f>IF(AllDataApr[[#This Row],[Nitrate (PPM)]]&gt;2, "Very high", IF(AllDataApr[[#This Row],[Nitrate (PPM)]]&gt;1, "High", IF(AllDataApr[[#This Row],[Nitrate (PPM)]]&gt;0.5, "Some evidence", IF(AllDataApr[[#This Row],[Nitrate (PPM)]]&gt;0, "No evidence", IF(AllDataApr[[#This Row],[Nitrate (PPM)]]=0, "")))))</f>
        <v>Very high</v>
      </c>
      <c r="S499">
        <v>0.61</v>
      </c>
      <c r="T499" s="7" t="str">
        <f>IF(AllDataApr[[#This Row],[Phosphate (PPM)]]&gt;0.5, "Very high", IF(AllDataApr[[#This Row],[Phosphate (PPM)]]&gt;0.1, "High", IF(AllDataApr[[#This Row],[Phosphate (PPM)]]&gt;0.05, "Some evidence", IF(AllDataApr[[#This Row],[Phosphate (PPM)]]=0, ""))))</f>
        <v>Very high</v>
      </c>
      <c r="U499">
        <v>2</v>
      </c>
    </row>
    <row r="500" spans="1:22" x14ac:dyDescent="0.3">
      <c r="A500" t="s">
        <v>410</v>
      </c>
      <c r="B500" s="2">
        <v>45367</v>
      </c>
      <c r="C500" s="2" t="str" cm="1">
        <f t="array" ref="C50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00">
        <f>YEAR(AllDataApr[[#This Row],[Date]])</f>
        <v>2024</v>
      </c>
      <c r="E500" s="1">
        <v>0.46180555555555558</v>
      </c>
      <c r="F500" s="2" t="str">
        <f>IF(AND(AllDataApr[[#This Row],[Time]]&lt;0.5, AllDataApr[[#This Row],[Time]]&gt;0.17)=TRUE, "Morning", IF(AND(AllDataApr[[#This Row],[Time]]&lt;0.75, AllDataApr[[#This Row],[Time]]&gt;=0.5)=TRUE, "Afternoon", IF(AND(AllDataApr[[#This Row],[Time]]&lt;1, AllDataApr[[#This Row],[Time]]&gt;=0.75)=TRUE, "Evening", "Night")))</f>
        <v>Morning</v>
      </c>
      <c r="G500" t="s">
        <v>11</v>
      </c>
      <c r="H500" t="str">
        <f>_xlfn.XLOOKUP(AllDataApr[[#This Row],[Location Name]], Locations[Row Labels],Locations[Group As])</f>
        <v>Black Bear</v>
      </c>
      <c r="I500" t="str">
        <f>_xlfn.XLOOKUP(AllDataApr[[#This Row],[Site Name]],LocationsKey[Site Name],LocationsKey[Region])</f>
        <v>Tewkesbury</v>
      </c>
      <c r="J500" t="str">
        <f>_xlfn.XLOOKUP(AllDataApr[[#This Row],[Site Name]],LocationsKey[Site Name], LocationsKey[Waterway])</f>
        <v>Avon</v>
      </c>
      <c r="K500" t="s">
        <v>231</v>
      </c>
      <c r="N500" t="s">
        <v>200</v>
      </c>
      <c r="O500">
        <v>645</v>
      </c>
      <c r="P500">
        <v>12.7</v>
      </c>
      <c r="Q500">
        <v>5</v>
      </c>
      <c r="R500" s="7" t="str">
        <f>IF(AllDataApr[[#This Row],[Nitrate (PPM)]]&gt;2, "Very high", IF(AllDataApr[[#This Row],[Nitrate (PPM)]]&gt;1, "High", IF(AllDataApr[[#This Row],[Nitrate (PPM)]]&gt;0.5, "Some evidence", IF(AllDataApr[[#This Row],[Nitrate (PPM)]]&gt;0, "No evidence", IF(AllDataApr[[#This Row],[Nitrate (PPM)]]=0, "")))))</f>
        <v>Very high</v>
      </c>
      <c r="S500">
        <v>0.77</v>
      </c>
      <c r="T500" s="7" t="str">
        <f>IF(AllDataApr[[#This Row],[Phosphate (PPM)]]&gt;0.5, "Very high", IF(AllDataApr[[#This Row],[Phosphate (PPM)]]&gt;0.1, "High", IF(AllDataApr[[#This Row],[Phosphate (PPM)]]&gt;0.05, "Some evidence", IF(AllDataApr[[#This Row],[Phosphate (PPM)]]=0, ""))))</f>
        <v>Very high</v>
      </c>
      <c r="U500">
        <v>2</v>
      </c>
    </row>
    <row r="501" spans="1:22" x14ac:dyDescent="0.3">
      <c r="A501" t="s">
        <v>402</v>
      </c>
      <c r="B501" s="2">
        <v>45367</v>
      </c>
      <c r="C501" s="2" t="str" cm="1">
        <f t="array" ref="C50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01">
        <f>YEAR(AllDataApr[[#This Row],[Date]])</f>
        <v>2024</v>
      </c>
      <c r="E501" s="1">
        <v>0.48958333333333331</v>
      </c>
      <c r="F501" s="2" t="str">
        <f>IF(AND(AllDataApr[[#This Row],[Time]]&lt;0.5, AllDataApr[[#This Row],[Time]]&gt;0.17)=TRUE, "Morning", IF(AND(AllDataApr[[#This Row],[Time]]&lt;0.75, AllDataApr[[#This Row],[Time]]&gt;=0.5)=TRUE, "Afternoon", IF(AND(AllDataApr[[#This Row],[Time]]&lt;1, AllDataApr[[#This Row],[Time]]&gt;=0.75)=TRUE, "Evening", "Night")))</f>
        <v>Morning</v>
      </c>
      <c r="G501" t="s">
        <v>899</v>
      </c>
      <c r="H501" t="str">
        <f>_xlfn.XLOOKUP(AllDataApr[[#This Row],[Location Name]], Locations[Row Labels],Locations[Group As])</f>
        <v>Avon Smiths Meadow Wyre Piddle</v>
      </c>
      <c r="I501" t="str">
        <f>_xlfn.XLOOKUP(AllDataApr[[#This Row],[Site Name]],LocationsKey[Site Name],LocationsKey[Region])</f>
        <v>Pershore</v>
      </c>
      <c r="J501" t="str">
        <f>_xlfn.XLOOKUP(AllDataApr[[#This Row],[Site Name]],LocationsKey[Site Name], LocationsKey[Waterway])</f>
        <v>Avon</v>
      </c>
      <c r="K501" t="s">
        <v>909</v>
      </c>
      <c r="L501">
        <v>52.122912999999997</v>
      </c>
      <c r="M501">
        <v>-2.0574750000000002</v>
      </c>
      <c r="N501" t="s">
        <v>200</v>
      </c>
      <c r="O501">
        <v>676</v>
      </c>
      <c r="P501">
        <v>11.3</v>
      </c>
      <c r="Q501">
        <v>5</v>
      </c>
      <c r="R501" s="7" t="str">
        <f>IF(AllDataApr[[#This Row],[Nitrate (PPM)]]&gt;2, "Very high", IF(AllDataApr[[#This Row],[Nitrate (PPM)]]&gt;1, "High", IF(AllDataApr[[#This Row],[Nitrate (PPM)]]&gt;0.5, "Some evidence", IF(AllDataApr[[#This Row],[Nitrate (PPM)]]&gt;0, "No evidence", IF(AllDataApr[[#This Row],[Nitrate (PPM)]]=0, "")))))</f>
        <v>Very high</v>
      </c>
      <c r="S501">
        <v>0.6</v>
      </c>
      <c r="T501" s="7" t="str">
        <f>IF(AllDataApr[[#This Row],[Phosphate (PPM)]]&gt;0.5, "Very high", IF(AllDataApr[[#This Row],[Phosphate (PPM)]]&gt;0.1, "High", IF(AllDataApr[[#This Row],[Phosphate (PPM)]]&gt;0.05, "Some evidence", IF(AllDataApr[[#This Row],[Phosphate (PPM)]]=0, ""))))</f>
        <v>Very high</v>
      </c>
      <c r="U501">
        <v>1.1000000000000001</v>
      </c>
      <c r="V501" t="s">
        <v>981</v>
      </c>
    </row>
    <row r="502" spans="1:22" x14ac:dyDescent="0.3">
      <c r="A502" t="s">
        <v>401</v>
      </c>
      <c r="B502" s="2">
        <v>45367</v>
      </c>
      <c r="C502" s="2" t="str" cm="1">
        <f t="array" ref="C50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02">
        <f>YEAR(AllDataApr[[#This Row],[Date]])</f>
        <v>2024</v>
      </c>
      <c r="E502" s="1">
        <v>0.51041666666666663</v>
      </c>
      <c r="F502" s="2" t="str">
        <f>IF(AND(AllDataApr[[#This Row],[Time]]&lt;0.5, AllDataApr[[#This Row],[Time]]&gt;0.17)=TRUE, "Morning", IF(AND(AllDataApr[[#This Row],[Time]]&lt;0.75, AllDataApr[[#This Row],[Time]]&gt;=0.5)=TRUE, "Afternoon", IF(AND(AllDataApr[[#This Row],[Time]]&lt;1, AllDataApr[[#This Row],[Time]]&gt;=0.75)=TRUE, "Evening", "Night")))</f>
        <v>Afternoon</v>
      </c>
      <c r="G502" t="s">
        <v>899</v>
      </c>
      <c r="H502" t="str">
        <f>_xlfn.XLOOKUP(AllDataApr[[#This Row],[Location Name]], Locations[Row Labels],Locations[Group As])</f>
        <v>Piddle Brook Wyre Piddle Bridge</v>
      </c>
      <c r="I502" t="str">
        <f>_xlfn.XLOOKUP(AllDataApr[[#This Row],[Site Name]],LocationsKey[Site Name],LocationsKey[Region])</f>
        <v>Pershore</v>
      </c>
      <c r="J502" t="str">
        <f>_xlfn.XLOOKUP(AllDataApr[[#This Row],[Site Name]],LocationsKey[Site Name], LocationsKey[Waterway])</f>
        <v>Piddle Brook</v>
      </c>
      <c r="K502" t="s">
        <v>908</v>
      </c>
      <c r="L502">
        <v>52.126412000000002</v>
      </c>
      <c r="M502">
        <v>-2.0565509999999998</v>
      </c>
      <c r="N502" t="s">
        <v>200</v>
      </c>
      <c r="O502">
        <v>672</v>
      </c>
      <c r="P502">
        <v>10.3</v>
      </c>
      <c r="Q502">
        <v>5</v>
      </c>
      <c r="R502" s="7" t="str">
        <f>IF(AllDataApr[[#This Row],[Nitrate (PPM)]]&gt;2, "Very high", IF(AllDataApr[[#This Row],[Nitrate (PPM)]]&gt;1, "High", IF(AllDataApr[[#This Row],[Nitrate (PPM)]]&gt;0.5, "Some evidence", IF(AllDataApr[[#This Row],[Nitrate (PPM)]]&gt;0, "No evidence", IF(AllDataApr[[#This Row],[Nitrate (PPM)]]=0, "")))))</f>
        <v>Very high</v>
      </c>
      <c r="S502">
        <v>0.53</v>
      </c>
      <c r="T502" s="7" t="str">
        <f>IF(AllDataApr[[#This Row],[Phosphate (PPM)]]&gt;0.5, "Very high", IF(AllDataApr[[#This Row],[Phosphate (PPM)]]&gt;0.1, "High", IF(AllDataApr[[#This Row],[Phosphate (PPM)]]&gt;0.05, "Some evidence", IF(AllDataApr[[#This Row],[Phosphate (PPM)]]=0, ""))))</f>
        <v>Very high</v>
      </c>
      <c r="U502">
        <v>0.4</v>
      </c>
      <c r="V502" t="s">
        <v>980</v>
      </c>
    </row>
    <row r="503" spans="1:22" x14ac:dyDescent="0.3">
      <c r="A503" t="s">
        <v>406</v>
      </c>
      <c r="B503" s="2">
        <v>45367</v>
      </c>
      <c r="C503" s="2" t="str" cm="1">
        <f t="array" ref="C50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03">
        <f>YEAR(AllDataApr[[#This Row],[Date]])</f>
        <v>2024</v>
      </c>
      <c r="E503" s="1">
        <v>0.60069444444444442</v>
      </c>
      <c r="F503" s="2" t="str">
        <f>IF(AND(AllDataApr[[#This Row],[Time]]&lt;0.5, AllDataApr[[#This Row],[Time]]&gt;0.17)=TRUE, "Morning", IF(AND(AllDataApr[[#This Row],[Time]]&lt;0.75, AllDataApr[[#This Row],[Time]]&gt;=0.5)=TRUE, "Afternoon", IF(AND(AllDataApr[[#This Row],[Time]]&lt;1, AllDataApr[[#This Row],[Time]]&gt;=0.75)=TRUE, "Evening", "Night")))</f>
        <v>Afternoon</v>
      </c>
      <c r="G503" t="s">
        <v>900</v>
      </c>
      <c r="H503" t="str">
        <f>_xlfn.XLOOKUP(AllDataApr[[#This Row],[Location Name]], Locations[Row Labels],Locations[Group As])</f>
        <v>Fell Mill Footbridge</v>
      </c>
      <c r="I503" t="str">
        <f>_xlfn.XLOOKUP(AllDataApr[[#This Row],[Site Name]],LocationsKey[Site Name],LocationsKey[Region])</f>
        <v>Shipston</v>
      </c>
      <c r="J503" t="str">
        <f>_xlfn.XLOOKUP(AllDataApr[[#This Row],[Site Name]],LocationsKey[Site Name], LocationsKey[Waterway])</f>
        <v>Stour</v>
      </c>
      <c r="K503" t="s">
        <v>910</v>
      </c>
      <c r="L503">
        <v>52.070086000000003</v>
      </c>
      <c r="M503">
        <v>-1.61145</v>
      </c>
      <c r="N503" t="s">
        <v>18</v>
      </c>
      <c r="O503">
        <v>599</v>
      </c>
      <c r="P503">
        <v>10.1</v>
      </c>
      <c r="Q503">
        <v>10</v>
      </c>
      <c r="R503" s="7" t="str">
        <f>IF(AllDataApr[[#This Row],[Nitrate (PPM)]]&gt;2, "Very high", IF(AllDataApr[[#This Row],[Nitrate (PPM)]]&gt;1, "High", IF(AllDataApr[[#This Row],[Nitrate (PPM)]]&gt;0.5, "Some evidence", IF(AllDataApr[[#This Row],[Nitrate (PPM)]]&gt;0, "No evidence", IF(AllDataApr[[#This Row],[Nitrate (PPM)]]=0, "")))))</f>
        <v>Very high</v>
      </c>
      <c r="S503">
        <v>0.27</v>
      </c>
      <c r="T503" s="7" t="str">
        <f>IF(AllDataApr[[#This Row],[Phosphate (PPM)]]&gt;0.5, "Very high", IF(AllDataApr[[#This Row],[Phosphate (PPM)]]&gt;0.1, "High", IF(AllDataApr[[#This Row],[Phosphate (PPM)]]&gt;0.05, "Some evidence", IF(AllDataApr[[#This Row],[Phosphate (PPM)]]=0, ""))))</f>
        <v>High</v>
      </c>
      <c r="U503">
        <v>2</v>
      </c>
      <c r="V503" t="s">
        <v>984</v>
      </c>
    </row>
    <row r="504" spans="1:22" x14ac:dyDescent="0.3">
      <c r="A504" t="s">
        <v>405</v>
      </c>
      <c r="B504" s="2">
        <v>45368</v>
      </c>
      <c r="C504" s="2" t="str" cm="1">
        <f t="array" ref="C50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04">
        <f>YEAR(AllDataApr[[#This Row],[Date]])</f>
        <v>2024</v>
      </c>
      <c r="E504" s="1">
        <v>0.48958333333333331</v>
      </c>
      <c r="F504" s="2" t="str">
        <f>IF(AND(AllDataApr[[#This Row],[Time]]&lt;0.5, AllDataApr[[#This Row],[Time]]&gt;0.17)=TRUE, "Morning", IF(AND(AllDataApr[[#This Row],[Time]]&lt;0.75, AllDataApr[[#This Row],[Time]]&gt;=0.5)=TRUE, "Afternoon", IF(AND(AllDataApr[[#This Row],[Time]]&lt;1, AllDataApr[[#This Row],[Time]]&gt;=0.75)=TRUE, "Evening", "Night")))</f>
        <v>Morning</v>
      </c>
      <c r="G504" t="s">
        <v>52</v>
      </c>
      <c r="H504" t="str">
        <f>_xlfn.XLOOKUP(AllDataApr[[#This Row],[Location Name]], Locations[Row Labels],Locations[Group As])</f>
        <v>Carrant Bredon Rd</v>
      </c>
      <c r="I504" t="str">
        <f>_xlfn.XLOOKUP(AllDataApr[[#This Row],[Site Name]],LocationsKey[Site Name],LocationsKey[Region])</f>
        <v>Tewkesbury</v>
      </c>
      <c r="J504" t="str">
        <f>_xlfn.XLOOKUP(AllDataApr[[#This Row],[Site Name]],LocationsKey[Site Name], LocationsKey[Waterway])</f>
        <v>Carrant</v>
      </c>
      <c r="K504" t="s">
        <v>179</v>
      </c>
      <c r="L504">
        <v>51.996478000000003</v>
      </c>
      <c r="M504">
        <v>-2.155986</v>
      </c>
      <c r="N504" t="s">
        <v>200</v>
      </c>
      <c r="O504">
        <v>535</v>
      </c>
      <c r="P504">
        <v>12.4</v>
      </c>
      <c r="Q504">
        <v>5</v>
      </c>
      <c r="R504" s="7" t="str">
        <f>IF(AllDataApr[[#This Row],[Nitrate (PPM)]]&gt;2, "Very high", IF(AllDataApr[[#This Row],[Nitrate (PPM)]]&gt;1, "High", IF(AllDataApr[[#This Row],[Nitrate (PPM)]]&gt;0.5, "Some evidence", IF(AllDataApr[[#This Row],[Nitrate (PPM)]]&gt;0, "No evidence", IF(AllDataApr[[#This Row],[Nitrate (PPM)]]=0, "")))))</f>
        <v>Very high</v>
      </c>
      <c r="S504">
        <v>0.19</v>
      </c>
      <c r="T504" s="7" t="str">
        <f>IF(AllDataApr[[#This Row],[Phosphate (PPM)]]&gt;0.5, "Very high", IF(AllDataApr[[#This Row],[Phosphate (PPM)]]&gt;0.1, "High", IF(AllDataApr[[#This Row],[Phosphate (PPM)]]&gt;0.05, "Some evidence", IF(AllDataApr[[#This Row],[Phosphate (PPM)]]=0, ""))))</f>
        <v>High</v>
      </c>
      <c r="U504">
        <v>0.32</v>
      </c>
      <c r="V504" t="s">
        <v>983</v>
      </c>
    </row>
    <row r="505" spans="1:22" x14ac:dyDescent="0.3">
      <c r="A505" t="s">
        <v>399</v>
      </c>
      <c r="B505" s="2">
        <v>45368</v>
      </c>
      <c r="C505" s="2" t="str" cm="1">
        <f t="array" ref="C50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05">
        <f>YEAR(AllDataApr[[#This Row],[Date]])</f>
        <v>2024</v>
      </c>
      <c r="E505" s="1">
        <v>0.59375</v>
      </c>
      <c r="F505" s="2" t="str">
        <f>IF(AND(AllDataApr[[#This Row],[Time]]&lt;0.5, AllDataApr[[#This Row],[Time]]&gt;0.17)=TRUE, "Morning", IF(AND(AllDataApr[[#This Row],[Time]]&lt;0.75, AllDataApr[[#This Row],[Time]]&gt;=0.5)=TRUE, "Afternoon", IF(AND(AllDataApr[[#This Row],[Time]]&lt;1, AllDataApr[[#This Row],[Time]]&gt;=0.75)=TRUE, "Evening", "Night")))</f>
        <v>Afternoon</v>
      </c>
      <c r="G505" t="s">
        <v>112</v>
      </c>
      <c r="H505" t="str">
        <f>_xlfn.XLOOKUP(AllDataApr[[#This Row],[Location Name]], Locations[Row Labels],Locations[Group As])</f>
        <v>Clifford Chambers Mill Bridge</v>
      </c>
      <c r="I505" t="str">
        <f>_xlfn.XLOOKUP(AllDataApr[[#This Row],[Site Name]],LocationsKey[Site Name],LocationsKey[Region])</f>
        <v>Stratford</v>
      </c>
      <c r="J505" t="str">
        <f>_xlfn.XLOOKUP(AllDataApr[[#This Row],[Site Name]],LocationsKey[Site Name], LocationsKey[Waterway])</f>
        <v>Stour</v>
      </c>
      <c r="K505" t="s">
        <v>119</v>
      </c>
      <c r="L505">
        <v>52.166370000000001</v>
      </c>
      <c r="M505">
        <v>-1.708032</v>
      </c>
      <c r="N505" t="s">
        <v>1047</v>
      </c>
      <c r="O505">
        <v>538</v>
      </c>
      <c r="P505">
        <v>16.5</v>
      </c>
      <c r="Q505">
        <v>5</v>
      </c>
      <c r="R505" s="7" t="str">
        <f>IF(AllDataApr[[#This Row],[Nitrate (PPM)]]&gt;2, "Very high", IF(AllDataApr[[#This Row],[Nitrate (PPM)]]&gt;1, "High", IF(AllDataApr[[#This Row],[Nitrate (PPM)]]&gt;0.5, "Some evidence", IF(AllDataApr[[#This Row],[Nitrate (PPM)]]&gt;0, "No evidence", IF(AllDataApr[[#This Row],[Nitrate (PPM)]]=0, "")))))</f>
        <v>Very high</v>
      </c>
      <c r="S505">
        <v>0.3</v>
      </c>
      <c r="T505" s="7" t="str">
        <f>IF(AllDataApr[[#This Row],[Phosphate (PPM)]]&gt;0.5, "Very high", IF(AllDataApr[[#This Row],[Phosphate (PPM)]]&gt;0.1, "High", IF(AllDataApr[[#This Row],[Phosphate (PPM)]]&gt;0.05, "Some evidence", IF(AllDataApr[[#This Row],[Phosphate (PPM)]]=0, ""))))</f>
        <v>High</v>
      </c>
      <c r="U505">
        <v>1.7</v>
      </c>
    </row>
    <row r="506" spans="1:22" x14ac:dyDescent="0.3">
      <c r="A506" t="s">
        <v>335</v>
      </c>
      <c r="B506" s="2">
        <v>45368</v>
      </c>
      <c r="C506" s="2" t="str" cm="1">
        <f t="array" ref="C50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06">
        <f>YEAR(AllDataApr[[#This Row],[Date]])</f>
        <v>2024</v>
      </c>
      <c r="E506" s="1">
        <v>0.59722222222222221</v>
      </c>
      <c r="F506" s="2" t="str">
        <f>IF(AND(AllDataApr[[#This Row],[Time]]&lt;0.5, AllDataApr[[#This Row],[Time]]&gt;0.17)=TRUE, "Morning", IF(AND(AllDataApr[[#This Row],[Time]]&lt;0.75, AllDataApr[[#This Row],[Time]]&gt;=0.5)=TRUE, "Afternoon", IF(AND(AllDataApr[[#This Row],[Time]]&lt;1, AllDataApr[[#This Row],[Time]]&gt;=0.75)=TRUE, "Evening", "Night")))</f>
        <v>Afternoon</v>
      </c>
      <c r="G506" t="s">
        <v>902</v>
      </c>
      <c r="H506" t="str">
        <f>_xlfn.XLOOKUP(AllDataApr[[#This Row],[Location Name]], Locations[Row Labels],Locations[Group As])</f>
        <v>The Ford, Langley</v>
      </c>
      <c r="I506" t="str">
        <f>_xlfn.XLOOKUP(AllDataApr[[#This Row],[Site Name]],LocationsKey[Site Name],LocationsKey[Region])</f>
        <v>Henley-in-Arden</v>
      </c>
      <c r="J506" t="str">
        <f>_xlfn.XLOOKUP(AllDataApr[[#This Row],[Site Name]],LocationsKey[Site Name], LocationsKey[Waterway])</f>
        <v>Langley Ford</v>
      </c>
      <c r="K506" t="s">
        <v>230</v>
      </c>
      <c r="L506">
        <v>52.259639</v>
      </c>
      <c r="M506">
        <v>-1.7181999999999999</v>
      </c>
      <c r="N506" t="s">
        <v>18</v>
      </c>
      <c r="O506">
        <v>223</v>
      </c>
      <c r="P506">
        <v>12.7</v>
      </c>
      <c r="Q506">
        <v>0.5</v>
      </c>
      <c r="R506" s="7" t="str">
        <f>IF(AllDataApr[[#This Row],[Nitrate (PPM)]]&gt;2, "Very high", IF(AllDataApr[[#This Row],[Nitrate (PPM)]]&gt;1, "High", IF(AllDataApr[[#This Row],[Nitrate (PPM)]]&gt;0.5, "Some evidence", IF(AllDataApr[[#This Row],[Nitrate (PPM)]]&gt;0, "No evidence", IF(AllDataApr[[#This Row],[Nitrate (PPM)]]=0, "")))))</f>
        <v>No evidence</v>
      </c>
      <c r="S506">
        <v>0.73</v>
      </c>
      <c r="T506" s="7" t="str">
        <f>IF(AllDataApr[[#This Row],[Phosphate (PPM)]]&gt;0.5, "Very high", IF(AllDataApr[[#This Row],[Phosphate (PPM)]]&gt;0.1, "High", IF(AllDataApr[[#This Row],[Phosphate (PPM)]]&gt;0.05, "Some evidence", IF(AllDataApr[[#This Row],[Phosphate (PPM)]]=0, ""))))</f>
        <v>Very high</v>
      </c>
      <c r="U506">
        <v>0.65</v>
      </c>
      <c r="V506" t="s">
        <v>946</v>
      </c>
    </row>
    <row r="507" spans="1:22" x14ac:dyDescent="0.3">
      <c r="A507" t="s">
        <v>355</v>
      </c>
      <c r="B507" s="2">
        <v>45368</v>
      </c>
      <c r="C507" s="2" t="str" cm="1">
        <f t="array" ref="C50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07">
        <f>YEAR(AllDataApr[[#This Row],[Date]])</f>
        <v>2024</v>
      </c>
      <c r="E507" s="1">
        <v>0.62708333333333333</v>
      </c>
      <c r="F507" s="2" t="str">
        <f>IF(AND(AllDataApr[[#This Row],[Time]]&lt;0.5, AllDataApr[[#This Row],[Time]]&gt;0.17)=TRUE, "Morning", IF(AND(AllDataApr[[#This Row],[Time]]&lt;0.75, AllDataApr[[#This Row],[Time]]&gt;=0.5)=TRUE, "Afternoon", IF(AND(AllDataApr[[#This Row],[Time]]&lt;1, AllDataApr[[#This Row],[Time]]&gt;=0.75)=TRUE, "Evening", "Night")))</f>
        <v>Afternoon</v>
      </c>
      <c r="G507" t="s">
        <v>275</v>
      </c>
      <c r="H507" t="str">
        <f>_xlfn.XLOOKUP(AllDataApr[[#This Row],[Location Name]], Locations[Row Labels],Locations[Group As])</f>
        <v>Sherbourne Brook 1</v>
      </c>
      <c r="I507" t="str">
        <f>_xlfn.XLOOKUP(AllDataApr[[#This Row],[Site Name]],LocationsKey[Site Name],LocationsKey[Region])</f>
        <v>Stratford</v>
      </c>
      <c r="J507" t="str">
        <f>_xlfn.XLOOKUP(AllDataApr[[#This Row],[Site Name]],LocationsKey[Site Name], LocationsKey[Waterway])</f>
        <v>Sherbourne Brook</v>
      </c>
      <c r="K507" t="s">
        <v>280</v>
      </c>
      <c r="N507" t="s">
        <v>200</v>
      </c>
      <c r="O507">
        <v>193</v>
      </c>
      <c r="P507">
        <v>11.7</v>
      </c>
      <c r="Q507">
        <v>3</v>
      </c>
      <c r="R507" s="7" t="str">
        <f>IF(AllDataApr[[#This Row],[Nitrate (PPM)]]&gt;2, "Very high", IF(AllDataApr[[#This Row],[Nitrate (PPM)]]&gt;1, "High", IF(AllDataApr[[#This Row],[Nitrate (PPM)]]&gt;0.5, "Some evidence", IF(AllDataApr[[#This Row],[Nitrate (PPM)]]&gt;0, "No evidence", IF(AllDataApr[[#This Row],[Nitrate (PPM)]]=0, "")))))</f>
        <v>Very high</v>
      </c>
      <c r="S507">
        <v>0.68</v>
      </c>
      <c r="T507" s="7" t="str">
        <f>IF(AllDataApr[[#This Row],[Phosphate (PPM)]]&gt;0.5, "Very high", IF(AllDataApr[[#This Row],[Phosphate (PPM)]]&gt;0.1, "High", IF(AllDataApr[[#This Row],[Phosphate (PPM)]]&gt;0.05, "Some evidence", IF(AllDataApr[[#This Row],[Phosphate (PPM)]]=0, ""))))</f>
        <v>Very high</v>
      </c>
      <c r="U507">
        <v>1</v>
      </c>
      <c r="V507" t="s">
        <v>959</v>
      </c>
    </row>
    <row r="508" spans="1:22" x14ac:dyDescent="0.3">
      <c r="A508" t="s">
        <v>354</v>
      </c>
      <c r="B508" s="2">
        <v>45368</v>
      </c>
      <c r="C508" s="2" t="str" cm="1">
        <f t="array" ref="C50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08">
        <f>YEAR(AllDataApr[[#This Row],[Date]])</f>
        <v>2024</v>
      </c>
      <c r="E508" s="1">
        <v>0.63541666666666663</v>
      </c>
      <c r="F508" s="2" t="str">
        <f>IF(AND(AllDataApr[[#This Row],[Time]]&lt;0.5, AllDataApr[[#This Row],[Time]]&gt;0.17)=TRUE, "Morning", IF(AND(AllDataApr[[#This Row],[Time]]&lt;0.75, AllDataApr[[#This Row],[Time]]&gt;=0.5)=TRUE, "Afternoon", IF(AND(AllDataApr[[#This Row],[Time]]&lt;1, AllDataApr[[#This Row],[Time]]&gt;=0.75)=TRUE, "Evening", "Night")))</f>
        <v>Afternoon</v>
      </c>
      <c r="G508" t="s">
        <v>275</v>
      </c>
      <c r="H508" t="str">
        <f>_xlfn.XLOOKUP(AllDataApr[[#This Row],[Location Name]], Locations[Row Labels],Locations[Group As])</f>
        <v>Bell Brook 1</v>
      </c>
      <c r="I508" t="str">
        <f>_xlfn.XLOOKUP(AllDataApr[[#This Row],[Site Name]],LocationsKey[Site Name],LocationsKey[Region])</f>
        <v>Stratford</v>
      </c>
      <c r="J508" t="str">
        <f>_xlfn.XLOOKUP(AllDataApr[[#This Row],[Site Name]],LocationsKey[Site Name], LocationsKey[Waterway])</f>
        <v>Bell Brook</v>
      </c>
      <c r="K508" t="s">
        <v>279</v>
      </c>
      <c r="N508" t="s">
        <v>200</v>
      </c>
      <c r="O508">
        <v>222</v>
      </c>
      <c r="P508">
        <v>12.1</v>
      </c>
      <c r="Q508">
        <v>2</v>
      </c>
      <c r="R508" s="7" t="str">
        <f>IF(AllDataApr[[#This Row],[Nitrate (PPM)]]&gt;2, "Very high", IF(AllDataApr[[#This Row],[Nitrate (PPM)]]&gt;1, "High", IF(AllDataApr[[#This Row],[Nitrate (PPM)]]&gt;0.5, "Some evidence", IF(AllDataApr[[#This Row],[Nitrate (PPM)]]&gt;0, "No evidence", IF(AllDataApr[[#This Row],[Nitrate (PPM)]]=0, "")))))</f>
        <v>High</v>
      </c>
      <c r="S508">
        <v>0.41</v>
      </c>
      <c r="T508" s="7" t="str">
        <f>IF(AllDataApr[[#This Row],[Phosphate (PPM)]]&gt;0.5, "Very high", IF(AllDataApr[[#This Row],[Phosphate (PPM)]]&gt;0.1, "High", IF(AllDataApr[[#This Row],[Phosphate (PPM)]]&gt;0.05, "Some evidence", IF(AllDataApr[[#This Row],[Phosphate (PPM)]]=0, ""))))</f>
        <v>High</v>
      </c>
      <c r="U508">
        <v>1</v>
      </c>
      <c r="V508" t="s">
        <v>959</v>
      </c>
    </row>
    <row r="509" spans="1:22" x14ac:dyDescent="0.3">
      <c r="A509" t="s">
        <v>391</v>
      </c>
      <c r="B509" s="2">
        <v>45369</v>
      </c>
      <c r="C509" s="2" t="str" cm="1">
        <f t="array" ref="C50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09">
        <f>YEAR(AllDataApr[[#This Row],[Date]])</f>
        <v>2024</v>
      </c>
      <c r="E509" s="1">
        <v>0.33888888888888891</v>
      </c>
      <c r="F509" s="2" t="str">
        <f>IF(AND(AllDataApr[[#This Row],[Time]]&lt;0.5, AllDataApr[[#This Row],[Time]]&gt;0.17)=TRUE, "Morning", IF(AND(AllDataApr[[#This Row],[Time]]&lt;0.75, AllDataApr[[#This Row],[Time]]&gt;=0.5)=TRUE, "Afternoon", IF(AND(AllDataApr[[#This Row],[Time]]&lt;1, AllDataApr[[#This Row],[Time]]&gt;=0.75)=TRUE, "Evening", "Night")))</f>
        <v>Morning</v>
      </c>
      <c r="G509" t="s">
        <v>222</v>
      </c>
      <c r="H509" t="str">
        <f>_xlfn.XLOOKUP(AllDataApr[[#This Row],[Location Name]], Locations[Row Labels],Locations[Group As])</f>
        <v>Pershore Bridges</v>
      </c>
      <c r="I509" t="str">
        <f>_xlfn.XLOOKUP(AllDataApr[[#This Row],[Site Name]],LocationsKey[Site Name],LocationsKey[Region])</f>
        <v>Pershore</v>
      </c>
      <c r="J509" t="str">
        <f>_xlfn.XLOOKUP(AllDataApr[[#This Row],[Site Name]],LocationsKey[Site Name], LocationsKey[Waterway])</f>
        <v>Avon</v>
      </c>
      <c r="K509" t="s">
        <v>233</v>
      </c>
      <c r="L509">
        <v>52.104187000000003</v>
      </c>
      <c r="M509">
        <v>-2.0709179999999998</v>
      </c>
      <c r="O509">
        <v>607</v>
      </c>
      <c r="P509">
        <v>14.1</v>
      </c>
      <c r="Q509">
        <v>5</v>
      </c>
      <c r="R509" s="7" t="str">
        <f>IF(AllDataApr[[#This Row],[Nitrate (PPM)]]&gt;2, "Very high", IF(AllDataApr[[#This Row],[Nitrate (PPM)]]&gt;1, "High", IF(AllDataApr[[#This Row],[Nitrate (PPM)]]&gt;0.5, "Some evidence", IF(AllDataApr[[#This Row],[Nitrate (PPM)]]&gt;0, "No evidence", IF(AllDataApr[[#This Row],[Nitrate (PPM)]]=0, "")))))</f>
        <v>Very high</v>
      </c>
      <c r="S509">
        <v>0.5</v>
      </c>
      <c r="T509" s="7" t="str">
        <f>IF(AllDataApr[[#This Row],[Phosphate (PPM)]]&gt;0.5, "Very high", IF(AllDataApr[[#This Row],[Phosphate (PPM)]]&gt;0.1, "High", IF(AllDataApr[[#This Row],[Phosphate (PPM)]]&gt;0.05, "Some evidence", IF(AllDataApr[[#This Row],[Phosphate (PPM)]]=0, ""))))</f>
        <v>High</v>
      </c>
      <c r="U509">
        <v>3.48</v>
      </c>
    </row>
    <row r="510" spans="1:22" x14ac:dyDescent="0.3">
      <c r="A510" t="s">
        <v>404</v>
      </c>
      <c r="B510" s="2">
        <v>45369</v>
      </c>
      <c r="C510" s="2" t="str" cm="1">
        <f t="array" ref="C51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10">
        <f>YEAR(AllDataApr[[#This Row],[Date]])</f>
        <v>2024</v>
      </c>
      <c r="E510" s="1">
        <v>0.39374999999999999</v>
      </c>
      <c r="F510" s="2" t="str">
        <f>IF(AND(AllDataApr[[#This Row],[Time]]&lt;0.5, AllDataApr[[#This Row],[Time]]&gt;0.17)=TRUE, "Morning", IF(AND(AllDataApr[[#This Row],[Time]]&lt;0.75, AllDataApr[[#This Row],[Time]]&gt;=0.5)=TRUE, "Afternoon", IF(AND(AllDataApr[[#This Row],[Time]]&lt;1, AllDataApr[[#This Row],[Time]]&gt;=0.75)=TRUE, "Evening", "Night")))</f>
        <v>Morning</v>
      </c>
      <c r="G510" t="s">
        <v>150</v>
      </c>
      <c r="H510" t="str">
        <f>_xlfn.XLOOKUP(AllDataApr[[#This Row],[Location Name]], Locations[Row Labels],Locations[Group As])</f>
        <v>Stour Stretton-on-Fosse Village</v>
      </c>
      <c r="I510" t="str">
        <f>_xlfn.XLOOKUP(AllDataApr[[#This Row],[Site Name]],LocationsKey[Site Name],LocationsKey[Region])</f>
        <v>Shipston</v>
      </c>
      <c r="J510" t="str">
        <f>_xlfn.XLOOKUP(AllDataApr[[#This Row],[Site Name]],LocationsKey[Site Name], LocationsKey[Waterway])</f>
        <v>Stour</v>
      </c>
      <c r="K510" t="s">
        <v>198</v>
      </c>
      <c r="L510">
        <v>52.046512</v>
      </c>
      <c r="M510">
        <v>-1.6733560000000001</v>
      </c>
      <c r="N510" t="s">
        <v>42</v>
      </c>
      <c r="O510">
        <v>489</v>
      </c>
      <c r="P510">
        <v>10.1</v>
      </c>
      <c r="Q510">
        <v>1</v>
      </c>
      <c r="R510" s="7" t="str">
        <f>IF(AllDataApr[[#This Row],[Nitrate (PPM)]]&gt;2, "Very high", IF(AllDataApr[[#This Row],[Nitrate (PPM)]]&gt;1, "High", IF(AllDataApr[[#This Row],[Nitrate (PPM)]]&gt;0.5, "Some evidence", IF(AllDataApr[[#This Row],[Nitrate (PPM)]]&gt;0, "No evidence", IF(AllDataApr[[#This Row],[Nitrate (PPM)]]=0, "")))))</f>
        <v>Some evidence</v>
      </c>
      <c r="S510">
        <v>0.72</v>
      </c>
      <c r="T510" s="7" t="str">
        <f>IF(AllDataApr[[#This Row],[Phosphate (PPM)]]&gt;0.5, "Very high", IF(AllDataApr[[#This Row],[Phosphate (PPM)]]&gt;0.1, "High", IF(AllDataApr[[#This Row],[Phosphate (PPM)]]&gt;0.05, "Some evidence", IF(AllDataApr[[#This Row],[Phosphate (PPM)]]=0, ""))))</f>
        <v>Very high</v>
      </c>
      <c r="U510">
        <v>0.3</v>
      </c>
      <c r="V510" t="s">
        <v>982</v>
      </c>
    </row>
    <row r="511" spans="1:22" x14ac:dyDescent="0.3">
      <c r="A511" t="s">
        <v>403</v>
      </c>
      <c r="B511" s="2">
        <v>45369</v>
      </c>
      <c r="C511" s="2" t="str" cm="1">
        <f t="array" ref="C51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11">
        <f>YEAR(AllDataApr[[#This Row],[Date]])</f>
        <v>2024</v>
      </c>
      <c r="E511" s="1">
        <v>0.40694444444444444</v>
      </c>
      <c r="F511" s="2" t="str">
        <f>IF(AND(AllDataApr[[#This Row],[Time]]&lt;0.5, AllDataApr[[#This Row],[Time]]&gt;0.17)=TRUE, "Morning", IF(AND(AllDataApr[[#This Row],[Time]]&lt;0.75, AllDataApr[[#This Row],[Time]]&gt;=0.5)=TRUE, "Afternoon", IF(AND(AllDataApr[[#This Row],[Time]]&lt;1, AllDataApr[[#This Row],[Time]]&gt;=0.75)=TRUE, "Evening", "Night")))</f>
        <v>Morning</v>
      </c>
      <c r="G511" t="s">
        <v>150</v>
      </c>
      <c r="H511" t="str">
        <f>_xlfn.XLOOKUP(AllDataApr[[#This Row],[Location Name]], Locations[Row Labels],Locations[Group As])</f>
        <v>Stour Stretton-on-Fosse Sewage Works</v>
      </c>
      <c r="I511" t="str">
        <f>_xlfn.XLOOKUP(AllDataApr[[#This Row],[Site Name]],LocationsKey[Site Name],LocationsKey[Region])</f>
        <v>Shipston</v>
      </c>
      <c r="J511" t="str">
        <f>_xlfn.XLOOKUP(AllDataApr[[#This Row],[Site Name]],LocationsKey[Site Name], LocationsKey[Waterway])</f>
        <v>Stour</v>
      </c>
      <c r="K511" t="s">
        <v>151</v>
      </c>
      <c r="L511">
        <v>52.045670000000001</v>
      </c>
      <c r="M511">
        <v>-1.6719189999999999</v>
      </c>
      <c r="N511" t="s">
        <v>18</v>
      </c>
      <c r="O511">
        <v>529</v>
      </c>
      <c r="P511">
        <v>9.8000000000000007</v>
      </c>
      <c r="Q511">
        <v>1</v>
      </c>
      <c r="R511" s="7" t="str">
        <f>IF(AllDataApr[[#This Row],[Nitrate (PPM)]]&gt;2, "Very high", IF(AllDataApr[[#This Row],[Nitrate (PPM)]]&gt;1, "High", IF(AllDataApr[[#This Row],[Nitrate (PPM)]]&gt;0.5, "Some evidence", IF(AllDataApr[[#This Row],[Nitrate (PPM)]]&gt;0, "No evidence", IF(AllDataApr[[#This Row],[Nitrate (PPM)]]=0, "")))))</f>
        <v>Some evidence</v>
      </c>
      <c r="S511">
        <v>0.95</v>
      </c>
      <c r="T511" s="7" t="str">
        <f>IF(AllDataApr[[#This Row],[Phosphate (PPM)]]&gt;0.5, "Very high", IF(AllDataApr[[#This Row],[Phosphate (PPM)]]&gt;0.1, "High", IF(AllDataApr[[#This Row],[Phosphate (PPM)]]&gt;0.05, "Some evidence", IF(AllDataApr[[#This Row],[Phosphate (PPM)]]=0, ""))))</f>
        <v>Very high</v>
      </c>
      <c r="U511">
        <v>0.4</v>
      </c>
    </row>
    <row r="512" spans="1:22" x14ac:dyDescent="0.3">
      <c r="A512" t="s">
        <v>400</v>
      </c>
      <c r="B512" s="2">
        <v>45369</v>
      </c>
      <c r="C512" s="2" t="str" cm="1">
        <f t="array" ref="C51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12">
        <f>YEAR(AllDataApr[[#This Row],[Date]])</f>
        <v>2024</v>
      </c>
      <c r="E512" s="1">
        <v>0.50208333333333333</v>
      </c>
      <c r="F512" s="2" t="str">
        <f>IF(AND(AllDataApr[[#This Row],[Time]]&lt;0.5, AllDataApr[[#This Row],[Time]]&gt;0.17)=TRUE, "Morning", IF(AND(AllDataApr[[#This Row],[Time]]&lt;0.75, AllDataApr[[#This Row],[Time]]&gt;=0.5)=TRUE, "Afternoon", IF(AND(AllDataApr[[#This Row],[Time]]&lt;1, AllDataApr[[#This Row],[Time]]&gt;=0.75)=TRUE, "Evening", "Night")))</f>
        <v>Afternoon</v>
      </c>
      <c r="G512" t="s">
        <v>274</v>
      </c>
      <c r="H512" t="str">
        <f>_xlfn.XLOOKUP(AllDataApr[[#This Row],[Location Name]], Locations[Row Labels],Locations[Group As])</f>
        <v>Abbey Mill</v>
      </c>
      <c r="I512" t="str">
        <f>_xlfn.XLOOKUP(AllDataApr[[#This Row],[Site Name]],LocationsKey[Site Name],LocationsKey[Region])</f>
        <v>Tewkesbury</v>
      </c>
      <c r="J512" t="str">
        <f>_xlfn.XLOOKUP(AllDataApr[[#This Row],[Site Name]],LocationsKey[Site Name], LocationsKey[Waterway])</f>
        <v>Avon</v>
      </c>
      <c r="K512" t="s">
        <v>13</v>
      </c>
      <c r="L512">
        <v>51.991112000000001</v>
      </c>
      <c r="M512">
        <v>-2.1623899999999998</v>
      </c>
      <c r="N512" t="s">
        <v>18</v>
      </c>
      <c r="O512">
        <v>547</v>
      </c>
      <c r="P512">
        <v>12.1</v>
      </c>
      <c r="Q512">
        <v>6</v>
      </c>
      <c r="R512" s="7" t="str">
        <f>IF(AllDataApr[[#This Row],[Nitrate (PPM)]]&gt;2, "Very high", IF(AllDataApr[[#This Row],[Nitrate (PPM)]]&gt;1, "High", IF(AllDataApr[[#This Row],[Nitrate (PPM)]]&gt;0.5, "Some evidence", IF(AllDataApr[[#This Row],[Nitrate (PPM)]]&gt;0, "No evidence", IF(AllDataApr[[#This Row],[Nitrate (PPM)]]=0, "")))))</f>
        <v>Very high</v>
      </c>
      <c r="S512">
        <v>0.63</v>
      </c>
      <c r="T512" s="7" t="str">
        <f>IF(AllDataApr[[#This Row],[Phosphate (PPM)]]&gt;0.5, "Very high", IF(AllDataApr[[#This Row],[Phosphate (PPM)]]&gt;0.1, "High", IF(AllDataApr[[#This Row],[Phosphate (PPM)]]&gt;0.05, "Some evidence", IF(AllDataApr[[#This Row],[Phosphate (PPM)]]=0, ""))))</f>
        <v>Very high</v>
      </c>
      <c r="U512">
        <v>2.5</v>
      </c>
      <c r="V512" t="s">
        <v>979</v>
      </c>
    </row>
    <row r="513" spans="1:22" x14ac:dyDescent="0.3">
      <c r="A513" t="s">
        <v>397</v>
      </c>
      <c r="B513" s="2">
        <v>45371</v>
      </c>
      <c r="C513" s="2" t="str" cm="1">
        <f t="array" ref="C51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13">
        <f>YEAR(AllDataApr[[#This Row],[Date]])</f>
        <v>2024</v>
      </c>
      <c r="E513" s="1">
        <v>9.7222222222222224E-2</v>
      </c>
      <c r="F513" s="2" t="str">
        <f>IF(AND(AllDataApr[[#This Row],[Time]]&lt;0.5, AllDataApr[[#This Row],[Time]]&gt;0.17)=TRUE, "Morning", IF(AND(AllDataApr[[#This Row],[Time]]&lt;0.75, AllDataApr[[#This Row],[Time]]&gt;=0.5)=TRUE, "Afternoon", IF(AND(AllDataApr[[#This Row],[Time]]&lt;1, AllDataApr[[#This Row],[Time]]&gt;=0.75)=TRUE, "Evening", "Night")))</f>
        <v>Night</v>
      </c>
      <c r="G513" t="s">
        <v>139</v>
      </c>
      <c r="H513" t="str">
        <f>_xlfn.XLOOKUP(AllDataApr[[#This Row],[Location Name]], Locations[Row Labels],Locations[Group As])</f>
        <v>Swiffen Bank</v>
      </c>
      <c r="I513" t="str">
        <f>_xlfn.XLOOKUP(AllDataApr[[#This Row],[Site Name]],LocationsKey[Site Name],LocationsKey[Region])</f>
        <v>Stratford</v>
      </c>
      <c r="J513" t="str">
        <f>_xlfn.XLOOKUP(AllDataApr[[#This Row],[Site Name]],LocationsKey[Site Name], LocationsKey[Waterway])</f>
        <v>Avon</v>
      </c>
      <c r="K513" t="s">
        <v>130</v>
      </c>
      <c r="L513">
        <v>52.206477999999997</v>
      </c>
      <c r="M513">
        <v>-1.653894</v>
      </c>
      <c r="N513" t="s">
        <v>18</v>
      </c>
      <c r="O513">
        <v>542</v>
      </c>
      <c r="P513">
        <v>13</v>
      </c>
      <c r="Q513">
        <v>5</v>
      </c>
      <c r="R513" s="7" t="str">
        <f>IF(AllDataApr[[#This Row],[Nitrate (PPM)]]&gt;2, "Very high", IF(AllDataApr[[#This Row],[Nitrate (PPM)]]&gt;1, "High", IF(AllDataApr[[#This Row],[Nitrate (PPM)]]&gt;0.5, "Some evidence", IF(AllDataApr[[#This Row],[Nitrate (PPM)]]&gt;0, "No evidence", IF(AllDataApr[[#This Row],[Nitrate (PPM)]]=0, "")))))</f>
        <v>Very high</v>
      </c>
      <c r="S513">
        <v>0.47</v>
      </c>
      <c r="T513" s="7" t="str">
        <f>IF(AllDataApr[[#This Row],[Phosphate (PPM)]]&gt;0.5, "Very high", IF(AllDataApr[[#This Row],[Phosphate (PPM)]]&gt;0.1, "High", IF(AllDataApr[[#This Row],[Phosphate (PPM)]]&gt;0.05, "Some evidence", IF(AllDataApr[[#This Row],[Phosphate (PPM)]]=0, ""))))</f>
        <v>High</v>
      </c>
      <c r="U513">
        <v>1</v>
      </c>
      <c r="V513" t="s">
        <v>977</v>
      </c>
    </row>
    <row r="514" spans="1:22" x14ac:dyDescent="0.3">
      <c r="A514" t="s">
        <v>398</v>
      </c>
      <c r="B514" s="2">
        <v>45371</v>
      </c>
      <c r="C514" s="2" t="str" cm="1">
        <f t="array" ref="C51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14">
        <f>YEAR(AllDataApr[[#This Row],[Date]])</f>
        <v>2024</v>
      </c>
      <c r="E514" s="1">
        <v>0.63402777777777775</v>
      </c>
      <c r="F514" s="2" t="str">
        <f>IF(AND(AllDataApr[[#This Row],[Time]]&lt;0.5, AllDataApr[[#This Row],[Time]]&gt;0.17)=TRUE, "Morning", IF(AND(AllDataApr[[#This Row],[Time]]&lt;0.75, AllDataApr[[#This Row],[Time]]&gt;=0.5)=TRUE, "Afternoon", IF(AND(AllDataApr[[#This Row],[Time]]&lt;1, AllDataApr[[#This Row],[Time]]&gt;=0.75)=TRUE, "Evening", "Night")))</f>
        <v>Afternoon</v>
      </c>
      <c r="G514" t="s">
        <v>127</v>
      </c>
      <c r="H514" t="str">
        <f>_xlfn.XLOOKUP(AllDataApr[[#This Row],[Location Name]], Locations[Row Labels],Locations[Group As])</f>
        <v>Alveston Weir</v>
      </c>
      <c r="I514" t="str">
        <f>_xlfn.XLOOKUP(AllDataApr[[#This Row],[Site Name]],LocationsKey[Site Name],LocationsKey[Region])</f>
        <v>Stratford</v>
      </c>
      <c r="J514" t="str">
        <f>_xlfn.XLOOKUP(AllDataApr[[#This Row],[Site Name]],LocationsKey[Site Name], LocationsKey[Waterway])</f>
        <v>Avon</v>
      </c>
      <c r="K514" t="s">
        <v>128</v>
      </c>
      <c r="L514">
        <v>52.212288999999998</v>
      </c>
      <c r="M514">
        <v>-1.660452</v>
      </c>
      <c r="N514" t="s">
        <v>18</v>
      </c>
      <c r="O514">
        <v>538</v>
      </c>
      <c r="P514">
        <v>17.399999999999999</v>
      </c>
      <c r="Q514">
        <v>5</v>
      </c>
      <c r="R514" s="7" t="str">
        <f>IF(AllDataApr[[#This Row],[Nitrate (PPM)]]&gt;2, "Very high", IF(AllDataApr[[#This Row],[Nitrate (PPM)]]&gt;1, "High", IF(AllDataApr[[#This Row],[Nitrate (PPM)]]&gt;0.5, "Some evidence", IF(AllDataApr[[#This Row],[Nitrate (PPM)]]&gt;0, "No evidence", IF(AllDataApr[[#This Row],[Nitrate (PPM)]]=0, "")))))</f>
        <v>Very high</v>
      </c>
      <c r="S514">
        <v>0.44</v>
      </c>
      <c r="T514" s="7" t="str">
        <f>IF(AllDataApr[[#This Row],[Phosphate (PPM)]]&gt;0.5, "Very high", IF(AllDataApr[[#This Row],[Phosphate (PPM)]]&gt;0.1, "High", IF(AllDataApr[[#This Row],[Phosphate (PPM)]]&gt;0.05, "Some evidence", IF(AllDataApr[[#This Row],[Phosphate (PPM)]]=0, ""))))</f>
        <v>High</v>
      </c>
      <c r="U514">
        <v>1</v>
      </c>
      <c r="V514" t="s">
        <v>978</v>
      </c>
    </row>
    <row r="515" spans="1:22" x14ac:dyDescent="0.3">
      <c r="A515" t="s">
        <v>388</v>
      </c>
      <c r="B515" s="2">
        <v>45372</v>
      </c>
      <c r="C515" s="2" t="str" cm="1">
        <f t="array" ref="C51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15">
        <f>YEAR(AllDataApr[[#This Row],[Date]])</f>
        <v>2024</v>
      </c>
      <c r="E515" s="1">
        <v>0.4375</v>
      </c>
      <c r="F515" s="2" t="str">
        <f>IF(AND(AllDataApr[[#This Row],[Time]]&lt;0.5, AllDataApr[[#This Row],[Time]]&gt;0.17)=TRUE, "Morning", IF(AND(AllDataApr[[#This Row],[Time]]&lt;0.75, AllDataApr[[#This Row],[Time]]&gt;=0.5)=TRUE, "Afternoon", IF(AND(AllDataApr[[#This Row],[Time]]&lt;1, AllDataApr[[#This Row],[Time]]&gt;=0.75)=TRUE, "Evening", "Night")))</f>
        <v>Morning</v>
      </c>
      <c r="G515" t="s">
        <v>220</v>
      </c>
      <c r="H515" t="str">
        <f>_xlfn.XLOOKUP(AllDataApr[[#This Row],[Location Name]], Locations[Row Labels],Locations[Group As])</f>
        <v>Stour Willington</v>
      </c>
      <c r="I515" t="str">
        <f>_xlfn.XLOOKUP(AllDataApr[[#This Row],[Site Name]],LocationsKey[Site Name],LocationsKey[Region])</f>
        <v>Shipston</v>
      </c>
      <c r="J515" t="str">
        <f>_xlfn.XLOOKUP(AllDataApr[[#This Row],[Site Name]],LocationsKey[Site Name], LocationsKey[Waterway])</f>
        <v>Stour</v>
      </c>
      <c r="K515" t="s">
        <v>197</v>
      </c>
      <c r="L515">
        <v>52.053576999999997</v>
      </c>
      <c r="M515">
        <v>-1.620171</v>
      </c>
      <c r="O515">
        <v>556</v>
      </c>
      <c r="P515">
        <v>12.5</v>
      </c>
      <c r="Q515">
        <v>2</v>
      </c>
      <c r="R515" s="7" t="str">
        <f>IF(AllDataApr[[#This Row],[Nitrate (PPM)]]&gt;2, "Very high", IF(AllDataApr[[#This Row],[Nitrate (PPM)]]&gt;1, "High", IF(AllDataApr[[#This Row],[Nitrate (PPM)]]&gt;0.5, "Some evidence", IF(AllDataApr[[#This Row],[Nitrate (PPM)]]&gt;0, "No evidence", IF(AllDataApr[[#This Row],[Nitrate (PPM)]]=0, "")))))</f>
        <v>High</v>
      </c>
      <c r="S515">
        <v>0.25</v>
      </c>
      <c r="T515" s="7" t="str">
        <f>IF(AllDataApr[[#This Row],[Phosphate (PPM)]]&gt;0.5, "Very high", IF(AllDataApr[[#This Row],[Phosphate (PPM)]]&gt;0.1, "High", IF(AllDataApr[[#This Row],[Phosphate (PPM)]]&gt;0.05, "Some evidence", IF(AllDataApr[[#This Row],[Phosphate (PPM)]]=0, ""))))</f>
        <v>High</v>
      </c>
      <c r="U515">
        <v>0.5</v>
      </c>
    </row>
    <row r="516" spans="1:22" x14ac:dyDescent="0.3">
      <c r="A516" t="s">
        <v>393</v>
      </c>
      <c r="B516" s="2">
        <v>45372</v>
      </c>
      <c r="C516" s="2" t="str" cm="1">
        <f t="array" ref="C51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16">
        <f>YEAR(AllDataApr[[#This Row],[Date]])</f>
        <v>2024</v>
      </c>
      <c r="E516" s="1">
        <v>0.47916666666666669</v>
      </c>
      <c r="F516" s="2" t="str">
        <f>IF(AND(AllDataApr[[#This Row],[Time]]&lt;0.5, AllDataApr[[#This Row],[Time]]&gt;0.17)=TRUE, "Morning", IF(AND(AllDataApr[[#This Row],[Time]]&lt;0.75, AllDataApr[[#This Row],[Time]]&gt;=0.5)=TRUE, "Afternoon", IF(AND(AllDataApr[[#This Row],[Time]]&lt;1, AllDataApr[[#This Row],[Time]]&gt;=0.75)=TRUE, "Evening", "Night")))</f>
        <v>Morning</v>
      </c>
      <c r="G516" t="s">
        <v>46</v>
      </c>
      <c r="H516" t="str">
        <f>_xlfn.XLOOKUP(AllDataApr[[#This Row],[Location Name]], Locations[Row Labels],Locations[Group As])</f>
        <v>Swilgate</v>
      </c>
      <c r="I516" t="str">
        <f>_xlfn.XLOOKUP(AllDataApr[[#This Row],[Site Name]],LocationsKey[Site Name],LocationsKey[Region])</f>
        <v>Tewkesbury</v>
      </c>
      <c r="J516" t="str">
        <f>_xlfn.XLOOKUP(AllDataApr[[#This Row],[Site Name]],LocationsKey[Site Name], LocationsKey[Waterway])</f>
        <v>Swilgate</v>
      </c>
      <c r="K516" t="s">
        <v>47</v>
      </c>
      <c r="N516" t="s">
        <v>200</v>
      </c>
      <c r="O516">
        <v>858</v>
      </c>
      <c r="P516">
        <v>12.6</v>
      </c>
      <c r="Q516">
        <v>3</v>
      </c>
      <c r="R516" s="7" t="str">
        <f>IF(AllDataApr[[#This Row],[Nitrate (PPM)]]&gt;2, "Very high", IF(AllDataApr[[#This Row],[Nitrate (PPM)]]&gt;1, "High", IF(AllDataApr[[#This Row],[Nitrate (PPM)]]&gt;0.5, "Some evidence", IF(AllDataApr[[#This Row],[Nitrate (PPM)]]&gt;0, "No evidence", IF(AllDataApr[[#This Row],[Nitrate (PPM)]]=0, "")))))</f>
        <v>Very high</v>
      </c>
      <c r="S516">
        <v>0.41</v>
      </c>
      <c r="T516" s="7" t="str">
        <f>IF(AllDataApr[[#This Row],[Phosphate (PPM)]]&gt;0.5, "Very high", IF(AllDataApr[[#This Row],[Phosphate (PPM)]]&gt;0.1, "High", IF(AllDataApr[[#This Row],[Phosphate (PPM)]]&gt;0.05, "Some evidence", IF(AllDataApr[[#This Row],[Phosphate (PPM)]]=0, ""))))</f>
        <v>High</v>
      </c>
      <c r="U516">
        <v>0</v>
      </c>
    </row>
    <row r="517" spans="1:22" x14ac:dyDescent="0.3">
      <c r="A517" t="s">
        <v>396</v>
      </c>
      <c r="B517" s="2">
        <v>45372</v>
      </c>
      <c r="C517" s="2" t="str" cm="1">
        <f t="array" ref="C51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17">
        <f>YEAR(AllDataApr[[#This Row],[Date]])</f>
        <v>2024</v>
      </c>
      <c r="E517" s="1">
        <v>0.64583333333333337</v>
      </c>
      <c r="F517" s="2" t="str">
        <f>IF(AND(AllDataApr[[#This Row],[Time]]&lt;0.5, AllDataApr[[#This Row],[Time]]&gt;0.17)=TRUE, "Morning", IF(AND(AllDataApr[[#This Row],[Time]]&lt;0.75, AllDataApr[[#This Row],[Time]]&gt;=0.5)=TRUE, "Afternoon", IF(AND(AllDataApr[[#This Row],[Time]]&lt;1, AllDataApr[[#This Row],[Time]]&gt;=0.75)=TRUE, "Evening", "Night")))</f>
        <v>Afternoon</v>
      </c>
      <c r="G517" t="s">
        <v>59</v>
      </c>
      <c r="H517" t="str">
        <f>_xlfn.XLOOKUP(AllDataApr[[#This Row],[Location Name]], Locations[Row Labels],Locations[Group As])</f>
        <v>Preston-on-Stour River Bridge</v>
      </c>
      <c r="I517" t="str">
        <f>_xlfn.XLOOKUP(AllDataApr[[#This Row],[Site Name]],LocationsKey[Site Name],LocationsKey[Region])</f>
        <v>Stratford</v>
      </c>
      <c r="J517" t="str">
        <f>_xlfn.XLOOKUP(AllDataApr[[#This Row],[Site Name]],LocationsKey[Site Name], LocationsKey[Waterway])</f>
        <v>Stour</v>
      </c>
      <c r="K517" t="s">
        <v>78</v>
      </c>
      <c r="L517">
        <v>52.146538</v>
      </c>
      <c r="M517">
        <v>-1.699924</v>
      </c>
      <c r="N517" t="s">
        <v>18</v>
      </c>
      <c r="O517">
        <v>610</v>
      </c>
      <c r="P517">
        <v>11.3</v>
      </c>
      <c r="Q517">
        <v>6</v>
      </c>
      <c r="R517" s="7" t="str">
        <f>IF(AllDataApr[[#This Row],[Nitrate (PPM)]]&gt;2, "Very high", IF(AllDataApr[[#This Row],[Nitrate (PPM)]]&gt;1, "High", IF(AllDataApr[[#This Row],[Nitrate (PPM)]]&gt;0.5, "Some evidence", IF(AllDataApr[[#This Row],[Nitrate (PPM)]]&gt;0, "No evidence", IF(AllDataApr[[#This Row],[Nitrate (PPM)]]=0, "")))))</f>
        <v>Very high</v>
      </c>
      <c r="S517">
        <v>0.31</v>
      </c>
      <c r="T517" s="7" t="str">
        <f>IF(AllDataApr[[#This Row],[Phosphate (PPM)]]&gt;0.5, "Very high", IF(AllDataApr[[#This Row],[Phosphate (PPM)]]&gt;0.1, "High", IF(AllDataApr[[#This Row],[Phosphate (PPM)]]&gt;0.05, "Some evidence", IF(AllDataApr[[#This Row],[Phosphate (PPM)]]=0, ""))))</f>
        <v>High</v>
      </c>
      <c r="U517">
        <v>1.5</v>
      </c>
    </row>
    <row r="518" spans="1:22" x14ac:dyDescent="0.3">
      <c r="A518" t="s">
        <v>395</v>
      </c>
      <c r="B518" s="2">
        <v>45373</v>
      </c>
      <c r="C518" s="2" t="str" cm="1">
        <f t="array" ref="C51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18">
        <f>YEAR(AllDataApr[[#This Row],[Date]])</f>
        <v>2024</v>
      </c>
      <c r="E518" s="1">
        <v>0.37430555555555556</v>
      </c>
      <c r="F518" s="2" t="str">
        <f>IF(AND(AllDataApr[[#This Row],[Time]]&lt;0.5, AllDataApr[[#This Row],[Time]]&gt;0.17)=TRUE, "Morning", IF(AND(AllDataApr[[#This Row],[Time]]&lt;0.75, AllDataApr[[#This Row],[Time]]&gt;=0.5)=TRUE, "Afternoon", IF(AND(AllDataApr[[#This Row],[Time]]&lt;1, AllDataApr[[#This Row],[Time]]&gt;=0.75)=TRUE, "Evening", "Night")))</f>
        <v>Morning</v>
      </c>
      <c r="G518" t="s">
        <v>277</v>
      </c>
      <c r="H518" t="str">
        <f>_xlfn.XLOOKUP(AllDataApr[[#This Row],[Location Name]], Locations[Row Labels],Locations[Group As])</f>
        <v>Mill Bridge Peopleton</v>
      </c>
      <c r="I518" t="str">
        <f>_xlfn.XLOOKUP(AllDataApr[[#This Row],[Site Name]],LocationsKey[Site Name],LocationsKey[Region])</f>
        <v>Pershore</v>
      </c>
      <c r="J518" t="str">
        <f>_xlfn.XLOOKUP(AllDataApr[[#This Row],[Site Name]],LocationsKey[Site Name], LocationsKey[Waterway])</f>
        <v>Bow Brook</v>
      </c>
      <c r="K518" t="s">
        <v>920</v>
      </c>
      <c r="L518">
        <v>52.151685999999998</v>
      </c>
      <c r="M518">
        <v>-2.0963069999999999</v>
      </c>
      <c r="N518" t="s">
        <v>18</v>
      </c>
      <c r="O518">
        <v>851</v>
      </c>
      <c r="P518">
        <v>11.9</v>
      </c>
      <c r="Q518">
        <v>5</v>
      </c>
      <c r="R518" s="7" t="str">
        <f>IF(AllDataApr[[#This Row],[Nitrate (PPM)]]&gt;2, "Very high", IF(AllDataApr[[#This Row],[Nitrate (PPM)]]&gt;1, "High", IF(AllDataApr[[#This Row],[Nitrate (PPM)]]&gt;0.5, "Some evidence", IF(AllDataApr[[#This Row],[Nitrate (PPM)]]&gt;0, "No evidence", IF(AllDataApr[[#This Row],[Nitrate (PPM)]]=0, "")))))</f>
        <v>Very high</v>
      </c>
      <c r="S518">
        <v>0.32</v>
      </c>
      <c r="T518" s="7" t="str">
        <f>IF(AllDataApr[[#This Row],[Phosphate (PPM)]]&gt;0.5, "Very high", IF(AllDataApr[[#This Row],[Phosphate (PPM)]]&gt;0.1, "High", IF(AllDataApr[[#This Row],[Phosphate (PPM)]]&gt;0.05, "Some evidence", IF(AllDataApr[[#This Row],[Phosphate (PPM)]]=0, ""))))</f>
        <v>High</v>
      </c>
      <c r="U518">
        <v>0.9</v>
      </c>
      <c r="V518" t="s">
        <v>976</v>
      </c>
    </row>
    <row r="519" spans="1:22" x14ac:dyDescent="0.3">
      <c r="A519" s="11" t="s">
        <v>394</v>
      </c>
      <c r="B519" s="2">
        <v>45373</v>
      </c>
      <c r="C519" s="2" t="str" cm="1">
        <f t="array" ref="C51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19">
        <f>YEAR(AllDataApr[[#This Row],[Date]])</f>
        <v>2024</v>
      </c>
      <c r="E519" s="1">
        <v>0.38611111111111113</v>
      </c>
      <c r="F519" s="2" t="str">
        <f>IF(AND(AllDataApr[[#This Row],[Time]]&lt;0.5, AllDataApr[[#This Row],[Time]]&gt;0.17)=TRUE, "Morning", IF(AND(AllDataApr[[#This Row],[Time]]&lt;0.75, AllDataApr[[#This Row],[Time]]&gt;=0.5)=TRUE, "Afternoon", IF(AND(AllDataApr[[#This Row],[Time]]&lt;1, AllDataApr[[#This Row],[Time]]&gt;=0.75)=TRUE, "Evening", "Night")))</f>
        <v>Morning</v>
      </c>
      <c r="G519" t="s">
        <v>11</v>
      </c>
      <c r="H519" t="str">
        <f>_xlfn.XLOOKUP(AllDataApr[[#This Row],[Location Name]], Locations[Row Labels],Locations[Group As])</f>
        <v>Black Bear</v>
      </c>
      <c r="I519" t="str">
        <f>_xlfn.XLOOKUP(AllDataApr[[#This Row],[Site Name]],LocationsKey[Site Name],LocationsKey[Region])</f>
        <v>Tewkesbury</v>
      </c>
      <c r="J519" t="str">
        <f>_xlfn.XLOOKUP(AllDataApr[[#This Row],[Site Name]],LocationsKey[Site Name], LocationsKey[Waterway])</f>
        <v>Avon</v>
      </c>
      <c r="K519" t="s">
        <v>231</v>
      </c>
      <c r="L519">
        <v>51.997236000000001</v>
      </c>
      <c r="M519">
        <v>-2.1562730000000001</v>
      </c>
      <c r="N519" t="s">
        <v>200</v>
      </c>
      <c r="O519">
        <v>675</v>
      </c>
      <c r="P519">
        <v>13.7</v>
      </c>
      <c r="Q519">
        <v>5</v>
      </c>
      <c r="R519" s="7" t="str">
        <f>IF(AllDataApr[[#This Row],[Nitrate (PPM)]]&gt;2, "Very high", IF(AllDataApr[[#This Row],[Nitrate (PPM)]]&gt;1, "High", IF(AllDataApr[[#This Row],[Nitrate (PPM)]]&gt;0.5, "Some evidence", IF(AllDataApr[[#This Row],[Nitrate (PPM)]]&gt;0, "No evidence", IF(AllDataApr[[#This Row],[Nitrate (PPM)]]=0, "")))))</f>
        <v>Very high</v>
      </c>
      <c r="S519">
        <v>0.82</v>
      </c>
      <c r="T519" s="7" t="str">
        <f>IF(AllDataApr[[#This Row],[Phosphate (PPM)]]&gt;0.5, "Very high", IF(AllDataApr[[#This Row],[Phosphate (PPM)]]&gt;0.1, "High", IF(AllDataApr[[#This Row],[Phosphate (PPM)]]&gt;0.05, "Some evidence", IF(AllDataApr[[#This Row],[Phosphate (PPM)]]=0, ""))))</f>
        <v>Very high</v>
      </c>
      <c r="U519">
        <v>0</v>
      </c>
    </row>
    <row r="520" spans="1:22" x14ac:dyDescent="0.3">
      <c r="A520" t="s">
        <v>392</v>
      </c>
      <c r="B520" s="2">
        <v>45373</v>
      </c>
      <c r="C520" s="2" t="str" cm="1">
        <f t="array" ref="C52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20">
        <f>YEAR(AllDataApr[[#This Row],[Date]])</f>
        <v>2024</v>
      </c>
      <c r="E520" s="1">
        <v>0.40277777777777779</v>
      </c>
      <c r="F520" s="2" t="str">
        <f>IF(AND(AllDataApr[[#This Row],[Time]]&lt;0.5, AllDataApr[[#This Row],[Time]]&gt;0.17)=TRUE, "Morning", IF(AND(AllDataApr[[#This Row],[Time]]&lt;0.75, AllDataApr[[#This Row],[Time]]&gt;=0.5)=TRUE, "Afternoon", IF(AND(AllDataApr[[#This Row],[Time]]&lt;1, AllDataApr[[#This Row],[Time]]&gt;=0.75)=TRUE, "Evening", "Night")))</f>
        <v>Morning</v>
      </c>
      <c r="G520" t="s">
        <v>221</v>
      </c>
      <c r="H520" t="str">
        <f>_xlfn.XLOOKUP(AllDataApr[[#This Row],[Location Name]], Locations[Row Labels],Locations[Group As])</f>
        <v>Lower Lode</v>
      </c>
      <c r="I520" t="str">
        <f>_xlfn.XLOOKUP(AllDataApr[[#This Row],[Site Name]],LocationsKey[Site Name],LocationsKey[Region])</f>
        <v>Tewkesbury</v>
      </c>
      <c r="J520" t="str">
        <f>_xlfn.XLOOKUP(AllDataApr[[#This Row],[Site Name]],LocationsKey[Site Name], LocationsKey[Waterway])</f>
        <v>Avon</v>
      </c>
      <c r="K520" t="s">
        <v>234</v>
      </c>
      <c r="L520">
        <v>51.985024000000003</v>
      </c>
      <c r="M520">
        <v>-2.174172</v>
      </c>
      <c r="N520" t="s">
        <v>18</v>
      </c>
      <c r="O520">
        <v>7350</v>
      </c>
      <c r="P520">
        <v>12.4</v>
      </c>
      <c r="Q520">
        <v>10</v>
      </c>
      <c r="R520" s="7" t="str">
        <f>IF(AllDataApr[[#This Row],[Nitrate (PPM)]]&gt;2, "Very high", IF(AllDataApr[[#This Row],[Nitrate (PPM)]]&gt;1, "High", IF(AllDataApr[[#This Row],[Nitrate (PPM)]]&gt;0.5, "Some evidence", IF(AllDataApr[[#This Row],[Nitrate (PPM)]]&gt;0, "No evidence", IF(AllDataApr[[#This Row],[Nitrate (PPM)]]=0, "")))))</f>
        <v>Very high</v>
      </c>
      <c r="S520">
        <v>0.43</v>
      </c>
      <c r="T520" s="7" t="str">
        <f>IF(AllDataApr[[#This Row],[Phosphate (PPM)]]&gt;0.5, "Very high", IF(AllDataApr[[#This Row],[Phosphate (PPM)]]&gt;0.1, "High", IF(AllDataApr[[#This Row],[Phosphate (PPM)]]&gt;0.05, "Some evidence", IF(AllDataApr[[#This Row],[Phosphate (PPM)]]=0, ""))))</f>
        <v>High</v>
      </c>
      <c r="U520">
        <v>2</v>
      </c>
      <c r="V520" t="s">
        <v>975</v>
      </c>
    </row>
    <row r="521" spans="1:22" x14ac:dyDescent="0.3">
      <c r="A521" t="s">
        <v>379</v>
      </c>
      <c r="B521" s="2">
        <v>45374</v>
      </c>
      <c r="C521" s="2" t="str" cm="1">
        <f t="array" ref="C52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21">
        <f>YEAR(AllDataApr[[#This Row],[Date]])</f>
        <v>2024</v>
      </c>
      <c r="E521" s="1">
        <v>0.42708333333333331</v>
      </c>
      <c r="F521" s="2" t="str">
        <f>IF(AND(AllDataApr[[#This Row],[Time]]&lt;0.5, AllDataApr[[#This Row],[Time]]&gt;0.17)=TRUE, "Morning", IF(AND(AllDataApr[[#This Row],[Time]]&lt;0.75, AllDataApr[[#This Row],[Time]]&gt;=0.5)=TRUE, "Afternoon", IF(AND(AllDataApr[[#This Row],[Time]]&lt;1, AllDataApr[[#This Row],[Time]]&gt;=0.75)=TRUE, "Evening", "Night")))</f>
        <v>Morning</v>
      </c>
      <c r="G521" t="s">
        <v>901</v>
      </c>
      <c r="H521" t="str">
        <f>_xlfn.XLOOKUP(AllDataApr[[#This Row],[Location Name]], Locations[Row Labels],Locations[Group As])</f>
        <v>Stour Whichford</v>
      </c>
      <c r="I521" t="str">
        <f>_xlfn.XLOOKUP(AllDataApr[[#This Row],[Site Name]],LocationsKey[Site Name],LocationsKey[Region])</f>
        <v>Shipston</v>
      </c>
      <c r="J521" t="str">
        <f>_xlfn.XLOOKUP(AllDataApr[[#This Row],[Site Name]],LocationsKey[Site Name], LocationsKey[Waterway])</f>
        <v>Stour</v>
      </c>
      <c r="K521" t="s">
        <v>918</v>
      </c>
      <c r="L521">
        <v>52.017437000000001</v>
      </c>
      <c r="M521">
        <v>-1.544745</v>
      </c>
      <c r="N521" t="s">
        <v>18</v>
      </c>
      <c r="O521">
        <v>593</v>
      </c>
      <c r="P521">
        <v>9.5</v>
      </c>
      <c r="Q521">
        <v>2</v>
      </c>
      <c r="R521" s="7" t="str">
        <f>IF(AllDataApr[[#This Row],[Nitrate (PPM)]]&gt;2, "Very high", IF(AllDataApr[[#This Row],[Nitrate (PPM)]]&gt;1, "High", IF(AllDataApr[[#This Row],[Nitrate (PPM)]]&gt;0.5, "Some evidence", IF(AllDataApr[[#This Row],[Nitrate (PPM)]]&gt;0, "No evidence", IF(AllDataApr[[#This Row],[Nitrate (PPM)]]=0, "")))))</f>
        <v>High</v>
      </c>
      <c r="S521">
        <v>0.35</v>
      </c>
      <c r="T521" s="7" t="str">
        <f>IF(AllDataApr[[#This Row],[Phosphate (PPM)]]&gt;0.5, "Very high", IF(AllDataApr[[#This Row],[Phosphate (PPM)]]&gt;0.1, "High", IF(AllDataApr[[#This Row],[Phosphate (PPM)]]&gt;0.05, "Some evidence", IF(AllDataApr[[#This Row],[Phosphate (PPM)]]=0, ""))))</f>
        <v>High</v>
      </c>
      <c r="U521">
        <v>21.6</v>
      </c>
    </row>
    <row r="522" spans="1:22" x14ac:dyDescent="0.3">
      <c r="A522" t="s">
        <v>380</v>
      </c>
      <c r="B522" s="2">
        <v>45374</v>
      </c>
      <c r="C522" s="2" t="str" cm="1">
        <f t="array" ref="C52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22">
        <f>YEAR(AllDataApr[[#This Row],[Date]])</f>
        <v>2024</v>
      </c>
      <c r="E522" s="1">
        <v>0.44444444444444442</v>
      </c>
      <c r="F522" s="2" t="str">
        <f>IF(AND(AllDataApr[[#This Row],[Time]]&lt;0.5, AllDataApr[[#This Row],[Time]]&gt;0.17)=TRUE, "Morning", IF(AND(AllDataApr[[#This Row],[Time]]&lt;0.75, AllDataApr[[#This Row],[Time]]&gt;=0.5)=TRUE, "Afternoon", IF(AND(AllDataApr[[#This Row],[Time]]&lt;1, AllDataApr[[#This Row],[Time]]&gt;=0.75)=TRUE, "Evening", "Night")))</f>
        <v>Morning</v>
      </c>
      <c r="G522" t="s">
        <v>901</v>
      </c>
      <c r="H522" t="str">
        <f>_xlfn.XLOOKUP(AllDataApr[[#This Row],[Location Name]], Locations[Row Labels],Locations[Group As])</f>
        <v>Stour Ascott Village</v>
      </c>
      <c r="I522" t="str">
        <f>_xlfn.XLOOKUP(AllDataApr[[#This Row],[Site Name]],LocationsKey[Site Name],LocationsKey[Region])</f>
        <v>Shipston</v>
      </c>
      <c r="J522" t="str">
        <f>_xlfn.XLOOKUP(AllDataApr[[#This Row],[Site Name]],LocationsKey[Site Name], LocationsKey[Waterway])</f>
        <v>Stour</v>
      </c>
      <c r="K522" t="s">
        <v>911</v>
      </c>
      <c r="L522">
        <v>52.013255999999998</v>
      </c>
      <c r="M522">
        <v>-1.5387710000000001</v>
      </c>
      <c r="N522" t="s">
        <v>42</v>
      </c>
      <c r="O522">
        <v>558</v>
      </c>
      <c r="P522">
        <v>8.5</v>
      </c>
      <c r="Q522">
        <v>2</v>
      </c>
      <c r="R522" s="7" t="str">
        <f>IF(AllDataApr[[#This Row],[Nitrate (PPM)]]&gt;2, "Very high", IF(AllDataApr[[#This Row],[Nitrate (PPM)]]&gt;1, "High", IF(AllDataApr[[#This Row],[Nitrate (PPM)]]&gt;0.5, "Some evidence", IF(AllDataApr[[#This Row],[Nitrate (PPM)]]&gt;0, "No evidence", IF(AllDataApr[[#This Row],[Nitrate (PPM)]]=0, "")))))</f>
        <v>High</v>
      </c>
      <c r="S522">
        <v>7.0000000000000007E-2</v>
      </c>
      <c r="T522" s="7" t="str">
        <f>IF(AllDataApr[[#This Row],[Phosphate (PPM)]]&gt;0.5, "Very high", IF(AllDataApr[[#This Row],[Phosphate (PPM)]]&gt;0.1, "High", IF(AllDataApr[[#This Row],[Phosphate (PPM)]]&gt;0.05, "Some evidence", IF(AllDataApr[[#This Row],[Phosphate (PPM)]]=0, ""))))</f>
        <v>Some evidence</v>
      </c>
      <c r="U522">
        <v>12.7</v>
      </c>
    </row>
    <row r="523" spans="1:22" x14ac:dyDescent="0.3">
      <c r="A523" t="s">
        <v>390</v>
      </c>
      <c r="B523" s="2">
        <v>45374</v>
      </c>
      <c r="C523" s="2" t="str" cm="1">
        <f t="array" ref="C52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23">
        <f>YEAR(AllDataApr[[#This Row],[Date]])</f>
        <v>2024</v>
      </c>
      <c r="E523" s="1">
        <v>0.48958333333333331</v>
      </c>
      <c r="F523" s="2" t="str">
        <f>IF(AND(AllDataApr[[#This Row],[Time]]&lt;0.5, AllDataApr[[#This Row],[Time]]&gt;0.17)=TRUE, "Morning", IF(AND(AllDataApr[[#This Row],[Time]]&lt;0.75, AllDataApr[[#This Row],[Time]]&gt;=0.5)=TRUE, "Afternoon", IF(AND(AllDataApr[[#This Row],[Time]]&lt;1, AllDataApr[[#This Row],[Time]]&gt;=0.75)=TRUE, "Evening", "Night")))</f>
        <v>Morning</v>
      </c>
      <c r="G523" t="s">
        <v>904</v>
      </c>
      <c r="H523" t="str">
        <f>_xlfn.XLOOKUP(AllDataApr[[#This Row],[Location Name]], Locations[Row Labels],Locations[Group As])</f>
        <v>Avon Smiths Meadow Wyre Piddle</v>
      </c>
      <c r="I523" t="str">
        <f>_xlfn.XLOOKUP(AllDataApr[[#This Row],[Site Name]],LocationsKey[Site Name],LocationsKey[Region])</f>
        <v>Pershore</v>
      </c>
      <c r="J523" t="str">
        <f>_xlfn.XLOOKUP(AllDataApr[[#This Row],[Site Name]],LocationsKey[Site Name], LocationsKey[Waterway])</f>
        <v>Avon</v>
      </c>
      <c r="K523" t="s">
        <v>909</v>
      </c>
      <c r="L523">
        <v>52.122883999999999</v>
      </c>
      <c r="M523">
        <v>-2.0574859999999999</v>
      </c>
      <c r="N523" t="s">
        <v>200</v>
      </c>
      <c r="O523">
        <v>747</v>
      </c>
      <c r="P523">
        <v>10.4</v>
      </c>
      <c r="Q523">
        <v>10</v>
      </c>
      <c r="R523" s="7" t="str">
        <f>IF(AllDataApr[[#This Row],[Nitrate (PPM)]]&gt;2, "Very high", IF(AllDataApr[[#This Row],[Nitrate (PPM)]]&gt;1, "High", IF(AllDataApr[[#This Row],[Nitrate (PPM)]]&gt;0.5, "Some evidence", IF(AllDataApr[[#This Row],[Nitrate (PPM)]]&gt;0, "No evidence", IF(AllDataApr[[#This Row],[Nitrate (PPM)]]=0, "")))))</f>
        <v>Very high</v>
      </c>
      <c r="S523">
        <v>0.67</v>
      </c>
      <c r="T523" s="7" t="str">
        <f>IF(AllDataApr[[#This Row],[Phosphate (PPM)]]&gt;0.5, "Very high", IF(AllDataApr[[#This Row],[Phosphate (PPM)]]&gt;0.1, "High", IF(AllDataApr[[#This Row],[Phosphate (PPM)]]&gt;0.05, "Some evidence", IF(AllDataApr[[#This Row],[Phosphate (PPM)]]=0, ""))))</f>
        <v>Very high</v>
      </c>
      <c r="U523">
        <v>0.9</v>
      </c>
      <c r="V523" t="s">
        <v>974</v>
      </c>
    </row>
    <row r="524" spans="1:22" x14ac:dyDescent="0.3">
      <c r="A524" t="s">
        <v>387</v>
      </c>
      <c r="B524" s="2">
        <v>45374</v>
      </c>
      <c r="C524" s="2" t="str" cm="1">
        <f t="array" ref="C52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24">
        <f>YEAR(AllDataApr[[#This Row],[Date]])</f>
        <v>2024</v>
      </c>
      <c r="E524" s="1">
        <v>0.52083333333333337</v>
      </c>
      <c r="F524" s="2" t="str">
        <f>IF(AND(AllDataApr[[#This Row],[Time]]&lt;0.5, AllDataApr[[#This Row],[Time]]&gt;0.17)=TRUE, "Morning", IF(AND(AllDataApr[[#This Row],[Time]]&lt;0.75, AllDataApr[[#This Row],[Time]]&gt;=0.5)=TRUE, "Afternoon", IF(AND(AllDataApr[[#This Row],[Time]]&lt;1, AllDataApr[[#This Row],[Time]]&gt;=0.75)=TRUE, "Evening", "Night")))</f>
        <v>Afternoon</v>
      </c>
      <c r="G524" t="s">
        <v>52</v>
      </c>
      <c r="H524" t="str">
        <f>_xlfn.XLOOKUP(AllDataApr[[#This Row],[Location Name]], Locations[Row Labels],Locations[Group As])</f>
        <v>Carrant Bredon Rd</v>
      </c>
      <c r="I524" t="str">
        <f>_xlfn.XLOOKUP(AllDataApr[[#This Row],[Site Name]],LocationsKey[Site Name],LocationsKey[Region])</f>
        <v>Tewkesbury</v>
      </c>
      <c r="J524" t="str">
        <f>_xlfn.XLOOKUP(AllDataApr[[#This Row],[Site Name]],LocationsKey[Site Name], LocationsKey[Waterway])</f>
        <v>Carrant</v>
      </c>
      <c r="K524" t="s">
        <v>179</v>
      </c>
      <c r="L524">
        <v>51.996478000000003</v>
      </c>
      <c r="M524">
        <v>-2.155986</v>
      </c>
      <c r="N524" t="s">
        <v>200</v>
      </c>
      <c r="O524">
        <v>780</v>
      </c>
      <c r="P524">
        <v>9.8000000000000007</v>
      </c>
      <c r="Q524">
        <v>4</v>
      </c>
      <c r="R524" s="7" t="str">
        <f>IF(AllDataApr[[#This Row],[Nitrate (PPM)]]&gt;2, "Very high", IF(AllDataApr[[#This Row],[Nitrate (PPM)]]&gt;1, "High", IF(AllDataApr[[#This Row],[Nitrate (PPM)]]&gt;0.5, "Some evidence", IF(AllDataApr[[#This Row],[Nitrate (PPM)]]&gt;0, "No evidence", IF(AllDataApr[[#This Row],[Nitrate (PPM)]]=0, "")))))</f>
        <v>Very high</v>
      </c>
      <c r="S524">
        <v>0.25</v>
      </c>
      <c r="T524" s="7" t="str">
        <f>IF(AllDataApr[[#This Row],[Phosphate (PPM)]]&gt;0.5, "Very high", IF(AllDataApr[[#This Row],[Phosphate (PPM)]]&gt;0.1, "High", IF(AllDataApr[[#This Row],[Phosphate (PPM)]]&gt;0.05, "Some evidence", IF(AllDataApr[[#This Row],[Phosphate (PPM)]]=0, ""))))</f>
        <v>High</v>
      </c>
      <c r="U524">
        <v>0.01</v>
      </c>
      <c r="V524" t="s">
        <v>972</v>
      </c>
    </row>
    <row r="525" spans="1:22" x14ac:dyDescent="0.3">
      <c r="A525" t="s">
        <v>389</v>
      </c>
      <c r="B525" s="2">
        <v>45374</v>
      </c>
      <c r="C525" s="2" t="str" cm="1">
        <f t="array" ref="C52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25">
        <f>YEAR(AllDataApr[[#This Row],[Date]])</f>
        <v>2024</v>
      </c>
      <c r="E525" s="1">
        <v>0.52083333333333337</v>
      </c>
      <c r="F525" s="2" t="str">
        <f>IF(AND(AllDataApr[[#This Row],[Time]]&lt;0.5, AllDataApr[[#This Row],[Time]]&gt;0.17)=TRUE, "Morning", IF(AND(AllDataApr[[#This Row],[Time]]&lt;0.75, AllDataApr[[#This Row],[Time]]&gt;=0.5)=TRUE, "Afternoon", IF(AND(AllDataApr[[#This Row],[Time]]&lt;1, AllDataApr[[#This Row],[Time]]&gt;=0.75)=TRUE, "Evening", "Night")))</f>
        <v>Afternoon</v>
      </c>
      <c r="G525" t="s">
        <v>904</v>
      </c>
      <c r="H525" t="str">
        <f>_xlfn.XLOOKUP(AllDataApr[[#This Row],[Location Name]], Locations[Row Labels],Locations[Group As])</f>
        <v>Piddle Brook Wyre Piddle Bridge</v>
      </c>
      <c r="I525" t="str">
        <f>_xlfn.XLOOKUP(AllDataApr[[#This Row],[Site Name]],LocationsKey[Site Name],LocationsKey[Region])</f>
        <v>Pershore</v>
      </c>
      <c r="J525" t="str">
        <f>_xlfn.XLOOKUP(AllDataApr[[#This Row],[Site Name]],LocationsKey[Site Name], LocationsKey[Waterway])</f>
        <v>Piddle Brook</v>
      </c>
      <c r="K525" t="s">
        <v>908</v>
      </c>
      <c r="L525">
        <v>52.126390000000001</v>
      </c>
      <c r="M525">
        <v>-2.0564990000000001</v>
      </c>
      <c r="N525" t="s">
        <v>200</v>
      </c>
      <c r="O525">
        <v>1020</v>
      </c>
      <c r="P525">
        <v>9.4</v>
      </c>
      <c r="Q525">
        <v>5</v>
      </c>
      <c r="R525" s="7" t="str">
        <f>IF(AllDataApr[[#This Row],[Nitrate (PPM)]]&gt;2, "Very high", IF(AllDataApr[[#This Row],[Nitrate (PPM)]]&gt;1, "High", IF(AllDataApr[[#This Row],[Nitrate (PPM)]]&gt;0.5, "Some evidence", IF(AllDataApr[[#This Row],[Nitrate (PPM)]]&gt;0, "No evidence", IF(AllDataApr[[#This Row],[Nitrate (PPM)]]=0, "")))))</f>
        <v>Very high</v>
      </c>
      <c r="S525">
        <v>0.53</v>
      </c>
      <c r="T525" s="7" t="str">
        <f>IF(AllDataApr[[#This Row],[Phosphate (PPM)]]&gt;0.5, "Very high", IF(AllDataApr[[#This Row],[Phosphate (PPM)]]&gt;0.1, "High", IF(AllDataApr[[#This Row],[Phosphate (PPM)]]&gt;0.05, "Some evidence", IF(AllDataApr[[#This Row],[Phosphate (PPM)]]=0, ""))))</f>
        <v>Very high</v>
      </c>
      <c r="U525">
        <v>0.34</v>
      </c>
      <c r="V525" t="s">
        <v>973</v>
      </c>
    </row>
    <row r="526" spans="1:22" x14ac:dyDescent="0.3">
      <c r="A526" t="s">
        <v>386</v>
      </c>
      <c r="B526" s="2">
        <v>45375</v>
      </c>
      <c r="C526" s="2" t="str" cm="1">
        <f t="array" ref="C52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26">
        <f>YEAR(AllDataApr[[#This Row],[Date]])</f>
        <v>2024</v>
      </c>
      <c r="E526" s="1">
        <v>0.44097222222222221</v>
      </c>
      <c r="F526" s="2" t="str">
        <f>IF(AND(AllDataApr[[#This Row],[Time]]&lt;0.5, AllDataApr[[#This Row],[Time]]&gt;0.17)=TRUE, "Morning", IF(AND(AllDataApr[[#This Row],[Time]]&lt;0.75, AllDataApr[[#This Row],[Time]]&gt;=0.5)=TRUE, "Afternoon", IF(AND(AllDataApr[[#This Row],[Time]]&lt;1, AllDataApr[[#This Row],[Time]]&gt;=0.75)=TRUE, "Evening", "Night")))</f>
        <v>Morning</v>
      </c>
      <c r="G526" t="s">
        <v>900</v>
      </c>
      <c r="H526" t="str">
        <f>_xlfn.XLOOKUP(AllDataApr[[#This Row],[Location Name]], Locations[Row Labels],Locations[Group As])</f>
        <v>Fell Mill Footbridge</v>
      </c>
      <c r="I526" t="str">
        <f>_xlfn.XLOOKUP(AllDataApr[[#This Row],[Site Name]],LocationsKey[Site Name],LocationsKey[Region])</f>
        <v>Shipston</v>
      </c>
      <c r="J526" t="str">
        <f>_xlfn.XLOOKUP(AllDataApr[[#This Row],[Site Name]],LocationsKey[Site Name], LocationsKey[Waterway])</f>
        <v>Stour</v>
      </c>
      <c r="K526" t="s">
        <v>910</v>
      </c>
      <c r="L526">
        <v>52.068274000000002</v>
      </c>
      <c r="M526">
        <v>-1.621486</v>
      </c>
      <c r="N526" t="s">
        <v>18</v>
      </c>
      <c r="O526">
        <v>592</v>
      </c>
      <c r="P526">
        <v>10.1</v>
      </c>
      <c r="Q526">
        <v>10</v>
      </c>
      <c r="R526" s="7" t="str">
        <f>IF(AllDataApr[[#This Row],[Nitrate (PPM)]]&gt;2, "Very high", IF(AllDataApr[[#This Row],[Nitrate (PPM)]]&gt;1, "High", IF(AllDataApr[[#This Row],[Nitrate (PPM)]]&gt;0.5, "Some evidence", IF(AllDataApr[[#This Row],[Nitrate (PPM)]]&gt;0, "No evidence", IF(AllDataApr[[#This Row],[Nitrate (PPM)]]=0, "")))))</f>
        <v>Very high</v>
      </c>
      <c r="S526">
        <v>0.28999999999999998</v>
      </c>
      <c r="T526" s="7" t="str">
        <f>IF(AllDataApr[[#This Row],[Phosphate (PPM)]]&gt;0.5, "Very high", IF(AllDataApr[[#This Row],[Phosphate (PPM)]]&gt;0.1, "High", IF(AllDataApr[[#This Row],[Phosphate (PPM)]]&gt;0.05, "Some evidence", IF(AllDataApr[[#This Row],[Phosphate (PPM)]]=0, ""))))</f>
        <v>High</v>
      </c>
      <c r="U526">
        <v>1.5</v>
      </c>
      <c r="V526" t="s">
        <v>971</v>
      </c>
    </row>
    <row r="527" spans="1:22" x14ac:dyDescent="0.3">
      <c r="A527" t="s">
        <v>376</v>
      </c>
      <c r="B527" s="2">
        <v>45375</v>
      </c>
      <c r="C527" s="2" t="str" cm="1">
        <f t="array" ref="C52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27">
        <f>YEAR(AllDataApr[[#This Row],[Date]])</f>
        <v>2024</v>
      </c>
      <c r="E527" s="1">
        <v>0.55208333333333337</v>
      </c>
      <c r="F527" s="2" t="str">
        <f>IF(AND(AllDataApr[[#This Row],[Time]]&lt;0.5, AllDataApr[[#This Row],[Time]]&gt;0.17)=TRUE, "Morning", IF(AND(AllDataApr[[#This Row],[Time]]&lt;0.75, AllDataApr[[#This Row],[Time]]&gt;=0.5)=TRUE, "Afternoon", IF(AND(AllDataApr[[#This Row],[Time]]&lt;1, AllDataApr[[#This Row],[Time]]&gt;=0.75)=TRUE, "Evening", "Night")))</f>
        <v>Afternoon</v>
      </c>
      <c r="G527" t="s">
        <v>222</v>
      </c>
      <c r="H527" t="str">
        <f>_xlfn.XLOOKUP(AllDataApr[[#This Row],[Location Name]], Locations[Row Labels],Locations[Group As])</f>
        <v>Pershore Bridges</v>
      </c>
      <c r="I527" t="str">
        <f>_xlfn.XLOOKUP(AllDataApr[[#This Row],[Site Name]],LocationsKey[Site Name],LocationsKey[Region])</f>
        <v>Pershore</v>
      </c>
      <c r="J527" t="str">
        <f>_xlfn.XLOOKUP(AllDataApr[[#This Row],[Site Name]],LocationsKey[Site Name], LocationsKey[Waterway])</f>
        <v>Avon</v>
      </c>
      <c r="K527" t="s">
        <v>272</v>
      </c>
      <c r="L527">
        <v>52.104187000000003</v>
      </c>
      <c r="M527">
        <v>-2.0709179999999998</v>
      </c>
      <c r="O527">
        <v>770</v>
      </c>
      <c r="P527">
        <v>12</v>
      </c>
      <c r="Q527">
        <v>10</v>
      </c>
      <c r="R527" s="7" t="str">
        <f>IF(AllDataApr[[#This Row],[Nitrate (PPM)]]&gt;2, "Very high", IF(AllDataApr[[#This Row],[Nitrate (PPM)]]&gt;1, "High", IF(AllDataApr[[#This Row],[Nitrate (PPM)]]&gt;0.5, "Some evidence", IF(AllDataApr[[#This Row],[Nitrate (PPM)]]&gt;0, "No evidence", IF(AllDataApr[[#This Row],[Nitrate (PPM)]]=0, "")))))</f>
        <v>Very high</v>
      </c>
      <c r="S527">
        <v>0.57999999999999996</v>
      </c>
      <c r="T527" s="7" t="str">
        <f>IF(AllDataApr[[#This Row],[Phosphate (PPM)]]&gt;0.5, "Very high", IF(AllDataApr[[#This Row],[Phosphate (PPM)]]&gt;0.1, "High", IF(AllDataApr[[#This Row],[Phosphate (PPM)]]&gt;0.05, "Some evidence", IF(AllDataApr[[#This Row],[Phosphate (PPM)]]=0, ""))))</f>
        <v>Very high</v>
      </c>
      <c r="U527">
        <v>3.42</v>
      </c>
    </row>
    <row r="528" spans="1:22" x14ac:dyDescent="0.3">
      <c r="A528" t="s">
        <v>385</v>
      </c>
      <c r="B528" s="2">
        <v>45375</v>
      </c>
      <c r="C528" s="2" t="str" cm="1">
        <f t="array" ref="C52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28">
        <f>YEAR(AllDataApr[[#This Row],[Date]])</f>
        <v>2024</v>
      </c>
      <c r="E528" s="1">
        <v>0.5625</v>
      </c>
      <c r="F528" s="2" t="str">
        <f>IF(AND(AllDataApr[[#This Row],[Time]]&lt;0.5, AllDataApr[[#This Row],[Time]]&gt;0.17)=TRUE, "Morning", IF(AND(AllDataApr[[#This Row],[Time]]&lt;0.75, AllDataApr[[#This Row],[Time]]&gt;=0.5)=TRUE, "Afternoon", IF(AND(AllDataApr[[#This Row],[Time]]&lt;1, AllDataApr[[#This Row],[Time]]&gt;=0.75)=TRUE, "Evening", "Night")))</f>
        <v>Afternoon</v>
      </c>
      <c r="G528" t="s">
        <v>112</v>
      </c>
      <c r="H528" t="str">
        <f>_xlfn.XLOOKUP(AllDataApr[[#This Row],[Location Name]], Locations[Row Labels],Locations[Group As])</f>
        <v>Clifford Chambers Mill Bridge</v>
      </c>
      <c r="I528" t="str">
        <f>_xlfn.XLOOKUP(AllDataApr[[#This Row],[Site Name]],LocationsKey[Site Name],LocationsKey[Region])</f>
        <v>Stratford</v>
      </c>
      <c r="J528" t="str">
        <f>_xlfn.XLOOKUP(AllDataApr[[#This Row],[Site Name]],LocationsKey[Site Name], LocationsKey[Waterway])</f>
        <v>Stour</v>
      </c>
      <c r="K528" t="s">
        <v>119</v>
      </c>
      <c r="L528">
        <v>52.166370000000001</v>
      </c>
      <c r="M528">
        <v>-1.708032</v>
      </c>
      <c r="N528" t="s">
        <v>1047</v>
      </c>
      <c r="O528">
        <v>663</v>
      </c>
      <c r="P528">
        <v>11.1</v>
      </c>
      <c r="Q528">
        <v>8</v>
      </c>
      <c r="R528" s="7" t="str">
        <f>IF(AllDataApr[[#This Row],[Nitrate (PPM)]]&gt;2, "Very high", IF(AllDataApr[[#This Row],[Nitrate (PPM)]]&gt;1, "High", IF(AllDataApr[[#This Row],[Nitrate (PPM)]]&gt;0.5, "Some evidence", IF(AllDataApr[[#This Row],[Nitrate (PPM)]]&gt;0, "No evidence", IF(AllDataApr[[#This Row],[Nitrate (PPM)]]=0, "")))))</f>
        <v>Very high</v>
      </c>
      <c r="S528">
        <v>0.31</v>
      </c>
      <c r="T528" s="7" t="str">
        <f>IF(AllDataApr[[#This Row],[Phosphate (PPM)]]&gt;0.5, "Very high", IF(AllDataApr[[#This Row],[Phosphate (PPM)]]&gt;0.1, "High", IF(AllDataApr[[#This Row],[Phosphate (PPM)]]&gt;0.05, "Some evidence", IF(AllDataApr[[#This Row],[Phosphate (PPM)]]=0, ""))))</f>
        <v>High</v>
      </c>
      <c r="U528">
        <v>1</v>
      </c>
    </row>
    <row r="529" spans="1:22" x14ac:dyDescent="0.3">
      <c r="A529" t="s">
        <v>353</v>
      </c>
      <c r="B529" s="2">
        <v>45375</v>
      </c>
      <c r="C529" s="2" t="str" cm="1">
        <f t="array" ref="C52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29">
        <f>YEAR(AllDataApr[[#This Row],[Date]])</f>
        <v>2024</v>
      </c>
      <c r="E529" s="1">
        <v>0.625</v>
      </c>
      <c r="F529" s="2" t="str">
        <f>IF(AND(AllDataApr[[#This Row],[Time]]&lt;0.5, AllDataApr[[#This Row],[Time]]&gt;0.17)=TRUE, "Morning", IF(AND(AllDataApr[[#This Row],[Time]]&lt;0.75, AllDataApr[[#This Row],[Time]]&gt;=0.5)=TRUE, "Afternoon", IF(AND(AllDataApr[[#This Row],[Time]]&lt;1, AllDataApr[[#This Row],[Time]]&gt;=0.75)=TRUE, "Evening", "Night")))</f>
        <v>Afternoon</v>
      </c>
      <c r="G529" t="s">
        <v>276</v>
      </c>
      <c r="H529" t="str">
        <f>_xlfn.XLOOKUP(AllDataApr[[#This Row],[Location Name]], Locations[Row Labels],Locations[Group As])</f>
        <v>Sherbourne Brook 2</v>
      </c>
      <c r="I529" t="str">
        <f>_xlfn.XLOOKUP(AllDataApr[[#This Row],[Site Name]],LocationsKey[Site Name],LocationsKey[Region])</f>
        <v>Stratford</v>
      </c>
      <c r="J529" t="str">
        <f>_xlfn.XLOOKUP(AllDataApr[[#This Row],[Site Name]],LocationsKey[Site Name], LocationsKey[Waterway])</f>
        <v>Sherbourne Brook</v>
      </c>
      <c r="K529" t="s">
        <v>917</v>
      </c>
      <c r="N529" t="s">
        <v>200</v>
      </c>
      <c r="O529">
        <v>100</v>
      </c>
      <c r="P529">
        <v>10.8</v>
      </c>
      <c r="Q529">
        <v>4</v>
      </c>
      <c r="R529" s="7" t="str">
        <f>IF(AllDataApr[[#This Row],[Nitrate (PPM)]]&gt;2, "Very high", IF(AllDataApr[[#This Row],[Nitrate (PPM)]]&gt;1, "High", IF(AllDataApr[[#This Row],[Nitrate (PPM)]]&gt;0.5, "Some evidence", IF(AllDataApr[[#This Row],[Nitrate (PPM)]]&gt;0, "No evidence", IF(AllDataApr[[#This Row],[Nitrate (PPM)]]=0, "")))))</f>
        <v>Very high</v>
      </c>
      <c r="S529">
        <v>0.57999999999999996</v>
      </c>
      <c r="T529" s="7" t="str">
        <f>IF(AllDataApr[[#This Row],[Phosphate (PPM)]]&gt;0.5, "Very high", IF(AllDataApr[[#This Row],[Phosphate (PPM)]]&gt;0.1, "High", IF(AllDataApr[[#This Row],[Phosphate (PPM)]]&gt;0.05, "Some evidence", IF(AllDataApr[[#This Row],[Phosphate (PPM)]]=0, ""))))</f>
        <v>Very high</v>
      </c>
      <c r="U529">
        <v>0.2</v>
      </c>
      <c r="V529" t="s">
        <v>283</v>
      </c>
    </row>
    <row r="530" spans="1:22" x14ac:dyDescent="0.3">
      <c r="A530" t="s">
        <v>352</v>
      </c>
      <c r="B530" s="2">
        <v>45375</v>
      </c>
      <c r="C530" s="2" t="str" cm="1">
        <f t="array" ref="C53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30">
        <f>YEAR(AllDataApr[[#This Row],[Date]])</f>
        <v>2024</v>
      </c>
      <c r="E530" s="1">
        <v>0.63541666666666663</v>
      </c>
      <c r="F530" s="2" t="str">
        <f>IF(AND(AllDataApr[[#This Row],[Time]]&lt;0.5, AllDataApr[[#This Row],[Time]]&gt;0.17)=TRUE, "Morning", IF(AND(AllDataApr[[#This Row],[Time]]&lt;0.75, AllDataApr[[#This Row],[Time]]&gt;=0.5)=TRUE, "Afternoon", IF(AND(AllDataApr[[#This Row],[Time]]&lt;1, AllDataApr[[#This Row],[Time]]&gt;=0.75)=TRUE, "Evening", "Night")))</f>
        <v>Afternoon</v>
      </c>
      <c r="G530" t="s">
        <v>276</v>
      </c>
      <c r="H530" t="str">
        <f>_xlfn.XLOOKUP(AllDataApr[[#This Row],[Location Name]], Locations[Row Labels],Locations[Group As])</f>
        <v>Bell Brook 1</v>
      </c>
      <c r="I530" t="str">
        <f>_xlfn.XLOOKUP(AllDataApr[[#This Row],[Site Name]],LocationsKey[Site Name],LocationsKey[Region])</f>
        <v>Stratford</v>
      </c>
      <c r="J530" t="str">
        <f>_xlfn.XLOOKUP(AllDataApr[[#This Row],[Site Name]],LocationsKey[Site Name], LocationsKey[Waterway])</f>
        <v>Bell Brook</v>
      </c>
      <c r="K530" t="s">
        <v>279</v>
      </c>
      <c r="N530" t="s">
        <v>200</v>
      </c>
      <c r="O530">
        <v>107</v>
      </c>
      <c r="P530">
        <v>10.3</v>
      </c>
      <c r="Q530">
        <v>5</v>
      </c>
      <c r="R530" s="7" t="str">
        <f>IF(AllDataApr[[#This Row],[Nitrate (PPM)]]&gt;2, "Very high", IF(AllDataApr[[#This Row],[Nitrate (PPM)]]&gt;1, "High", IF(AllDataApr[[#This Row],[Nitrate (PPM)]]&gt;0.5, "Some evidence", IF(AllDataApr[[#This Row],[Nitrate (PPM)]]&gt;0, "No evidence", IF(AllDataApr[[#This Row],[Nitrate (PPM)]]=0, "")))))</f>
        <v>Very high</v>
      </c>
      <c r="S530">
        <v>0.53</v>
      </c>
      <c r="T530" s="7" t="str">
        <f>IF(AllDataApr[[#This Row],[Phosphate (PPM)]]&gt;0.5, "Very high", IF(AllDataApr[[#This Row],[Phosphate (PPM)]]&gt;0.1, "High", IF(AllDataApr[[#This Row],[Phosphate (PPM)]]&gt;0.05, "Some evidence", IF(AllDataApr[[#This Row],[Phosphate (PPM)]]=0, ""))))</f>
        <v>Very high</v>
      </c>
      <c r="U530">
        <v>0.15</v>
      </c>
      <c r="V530" t="s">
        <v>283</v>
      </c>
    </row>
    <row r="531" spans="1:22" x14ac:dyDescent="0.3">
      <c r="A531" t="s">
        <v>336</v>
      </c>
      <c r="B531" s="2">
        <v>45375</v>
      </c>
      <c r="C531" s="2" t="str" cm="1">
        <f t="array" ref="C53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31">
        <f>YEAR(AllDataApr[[#This Row],[Date]])</f>
        <v>2024</v>
      </c>
      <c r="E531" s="1">
        <v>0.66666666666666663</v>
      </c>
      <c r="F531" s="2" t="str">
        <f>IF(AND(AllDataApr[[#This Row],[Time]]&lt;0.5, AllDataApr[[#This Row],[Time]]&gt;0.17)=TRUE, "Morning", IF(AND(AllDataApr[[#This Row],[Time]]&lt;0.75, AllDataApr[[#This Row],[Time]]&gt;=0.5)=TRUE, "Afternoon", IF(AND(AllDataApr[[#This Row],[Time]]&lt;1, AllDataApr[[#This Row],[Time]]&gt;=0.75)=TRUE, "Evening", "Night")))</f>
        <v>Afternoon</v>
      </c>
      <c r="G531" t="s">
        <v>902</v>
      </c>
      <c r="H531" t="str">
        <f>_xlfn.XLOOKUP(AllDataApr[[#This Row],[Location Name]], Locations[Row Labels],Locations[Group As])</f>
        <v>The Ford, Langley</v>
      </c>
      <c r="I531" t="str">
        <f>_xlfn.XLOOKUP(AllDataApr[[#This Row],[Site Name]],LocationsKey[Site Name],LocationsKey[Region])</f>
        <v>Henley-in-Arden</v>
      </c>
      <c r="J531" t="str">
        <f>_xlfn.XLOOKUP(AllDataApr[[#This Row],[Site Name]],LocationsKey[Site Name], LocationsKey[Waterway])</f>
        <v>Langley Ford</v>
      </c>
      <c r="K531" t="s">
        <v>230</v>
      </c>
      <c r="L531">
        <v>52.259639</v>
      </c>
      <c r="M531">
        <v>-1.7181999999999999</v>
      </c>
      <c r="N531" t="s">
        <v>18</v>
      </c>
      <c r="O531">
        <v>634</v>
      </c>
      <c r="P531">
        <v>9.6</v>
      </c>
      <c r="Q531">
        <v>2</v>
      </c>
      <c r="R531" s="7" t="str">
        <f>IF(AllDataApr[[#This Row],[Nitrate (PPM)]]&gt;2, "Very high", IF(AllDataApr[[#This Row],[Nitrate (PPM)]]&gt;1, "High", IF(AllDataApr[[#This Row],[Nitrate (PPM)]]&gt;0.5, "Some evidence", IF(AllDataApr[[#This Row],[Nitrate (PPM)]]&gt;0, "No evidence", IF(AllDataApr[[#This Row],[Nitrate (PPM)]]=0, "")))))</f>
        <v>High</v>
      </c>
      <c r="S531">
        <v>0.68</v>
      </c>
      <c r="T531" s="7" t="str">
        <f>IF(AllDataApr[[#This Row],[Phosphate (PPM)]]&gt;0.5, "Very high", IF(AllDataApr[[#This Row],[Phosphate (PPM)]]&gt;0.1, "High", IF(AllDataApr[[#This Row],[Phosphate (PPM)]]&gt;0.05, "Some evidence", IF(AllDataApr[[#This Row],[Phosphate (PPM)]]=0, ""))))</f>
        <v>Very high</v>
      </c>
      <c r="U531">
        <v>0.45</v>
      </c>
    </row>
    <row r="532" spans="1:22" x14ac:dyDescent="0.3">
      <c r="A532" t="s">
        <v>384</v>
      </c>
      <c r="B532" s="2">
        <v>45375</v>
      </c>
      <c r="C532" s="2" t="str" cm="1">
        <f t="array" ref="C53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32">
        <f>YEAR(AllDataApr[[#This Row],[Date]])</f>
        <v>2024</v>
      </c>
      <c r="E532" s="1">
        <v>0.75486111111111109</v>
      </c>
      <c r="F532" s="2" t="str">
        <f>IF(AND(AllDataApr[[#This Row],[Time]]&lt;0.5, AllDataApr[[#This Row],[Time]]&gt;0.17)=TRUE, "Morning", IF(AND(AllDataApr[[#This Row],[Time]]&lt;0.75, AllDataApr[[#This Row],[Time]]&gt;=0.5)=TRUE, "Afternoon", IF(AND(AllDataApr[[#This Row],[Time]]&lt;1, AllDataApr[[#This Row],[Time]]&gt;=0.75)=TRUE, "Evening", "Night")))</f>
        <v>Evening</v>
      </c>
      <c r="G532" t="s">
        <v>903</v>
      </c>
      <c r="H532" t="str">
        <f>_xlfn.XLOOKUP(AllDataApr[[#This Row],[Location Name]], Locations[Row Labels],Locations[Group As])</f>
        <v>Walcot Lane, Bow Brook Ford</v>
      </c>
      <c r="I532" t="str">
        <f>_xlfn.XLOOKUP(AllDataApr[[#This Row],[Site Name]],LocationsKey[Site Name],LocationsKey[Region])</f>
        <v>Pershore</v>
      </c>
      <c r="J532" t="str">
        <f>_xlfn.XLOOKUP(AllDataApr[[#This Row],[Site Name]],LocationsKey[Site Name], LocationsKey[Waterway])</f>
        <v>Bow Brook</v>
      </c>
      <c r="K532" t="s">
        <v>919</v>
      </c>
      <c r="L532">
        <v>52.130540000000003</v>
      </c>
      <c r="M532">
        <v>-2.0785439999999999</v>
      </c>
      <c r="N532" t="s">
        <v>200</v>
      </c>
      <c r="O532">
        <v>933</v>
      </c>
      <c r="P532">
        <v>10.3</v>
      </c>
      <c r="Q532">
        <v>5</v>
      </c>
      <c r="R532" s="7" t="str">
        <f>IF(AllDataApr[[#This Row],[Nitrate (PPM)]]&gt;2, "Very high", IF(AllDataApr[[#This Row],[Nitrate (PPM)]]&gt;1, "High", IF(AllDataApr[[#This Row],[Nitrate (PPM)]]&gt;0.5, "Some evidence", IF(AllDataApr[[#This Row],[Nitrate (PPM)]]&gt;0, "No evidence", IF(AllDataApr[[#This Row],[Nitrate (PPM)]]=0, "")))))</f>
        <v>Very high</v>
      </c>
      <c r="S532">
        <v>0.9</v>
      </c>
      <c r="T532" s="7" t="str">
        <f>IF(AllDataApr[[#This Row],[Phosphate (PPM)]]&gt;0.5, "Very high", IF(AllDataApr[[#This Row],[Phosphate (PPM)]]&gt;0.1, "High", IF(AllDataApr[[#This Row],[Phosphate (PPM)]]&gt;0.05, "Some evidence", IF(AllDataApr[[#This Row],[Phosphate (PPM)]]=0, ""))))</f>
        <v>Very high</v>
      </c>
      <c r="U532">
        <v>0.5</v>
      </c>
      <c r="V532" t="s">
        <v>970</v>
      </c>
    </row>
    <row r="533" spans="1:22" x14ac:dyDescent="0.3">
      <c r="A533" t="s">
        <v>383</v>
      </c>
      <c r="B533" s="2">
        <v>45376</v>
      </c>
      <c r="C533" s="2" t="str" cm="1">
        <f t="array" ref="C53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33">
        <f>YEAR(AllDataApr[[#This Row],[Date]])</f>
        <v>2024</v>
      </c>
      <c r="E533" s="1">
        <v>0.37361111111111112</v>
      </c>
      <c r="F533" s="2" t="str">
        <f>IF(AND(AllDataApr[[#This Row],[Time]]&lt;0.5, AllDataApr[[#This Row],[Time]]&gt;0.17)=TRUE, "Morning", IF(AND(AllDataApr[[#This Row],[Time]]&lt;0.75, AllDataApr[[#This Row],[Time]]&gt;=0.5)=TRUE, "Afternoon", IF(AND(AllDataApr[[#This Row],[Time]]&lt;1, AllDataApr[[#This Row],[Time]]&gt;=0.75)=TRUE, "Evening", "Night")))</f>
        <v>Morning</v>
      </c>
      <c r="G533" t="s">
        <v>150</v>
      </c>
      <c r="H533" t="str">
        <f>_xlfn.XLOOKUP(AllDataApr[[#This Row],[Location Name]], Locations[Row Labels],Locations[Group As])</f>
        <v>Stour Stretton-on-Fosse Village</v>
      </c>
      <c r="I533" t="str">
        <f>_xlfn.XLOOKUP(AllDataApr[[#This Row],[Site Name]],LocationsKey[Site Name],LocationsKey[Region])</f>
        <v>Shipston</v>
      </c>
      <c r="J533" t="str">
        <f>_xlfn.XLOOKUP(AllDataApr[[#This Row],[Site Name]],LocationsKey[Site Name], LocationsKey[Waterway])</f>
        <v>Stour</v>
      </c>
      <c r="K533" t="s">
        <v>198</v>
      </c>
      <c r="L533">
        <v>52.046520999999998</v>
      </c>
      <c r="M533">
        <v>-1.673325</v>
      </c>
      <c r="N533" t="s">
        <v>42</v>
      </c>
      <c r="O533">
        <v>702</v>
      </c>
      <c r="P533">
        <v>8.4</v>
      </c>
      <c r="Q533">
        <v>2</v>
      </c>
      <c r="R533" s="7" t="str">
        <f>IF(AllDataApr[[#This Row],[Nitrate (PPM)]]&gt;2, "Very high", IF(AllDataApr[[#This Row],[Nitrate (PPM)]]&gt;1, "High", IF(AllDataApr[[#This Row],[Nitrate (PPM)]]&gt;0.5, "Some evidence", IF(AllDataApr[[#This Row],[Nitrate (PPM)]]&gt;0, "No evidence", IF(AllDataApr[[#This Row],[Nitrate (PPM)]]=0, "")))))</f>
        <v>High</v>
      </c>
      <c r="S533">
        <v>1.57</v>
      </c>
      <c r="T533" s="7" t="str">
        <f>IF(AllDataApr[[#This Row],[Phosphate (PPM)]]&gt;0.5, "Very high", IF(AllDataApr[[#This Row],[Phosphate (PPM)]]&gt;0.1, "High", IF(AllDataApr[[#This Row],[Phosphate (PPM)]]&gt;0.05, "Some evidence", IF(AllDataApr[[#This Row],[Phosphate (PPM)]]=0, ""))))</f>
        <v>Very high</v>
      </c>
      <c r="U533">
        <v>0.2</v>
      </c>
    </row>
    <row r="534" spans="1:22" x14ac:dyDescent="0.3">
      <c r="A534" t="s">
        <v>382</v>
      </c>
      <c r="B534" s="2">
        <v>45376</v>
      </c>
      <c r="C534" s="2" t="str" cm="1">
        <f t="array" ref="C53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34">
        <f>YEAR(AllDataApr[[#This Row],[Date]])</f>
        <v>2024</v>
      </c>
      <c r="E534" s="1">
        <v>0.37986111111111109</v>
      </c>
      <c r="F534" s="2" t="str">
        <f>IF(AND(AllDataApr[[#This Row],[Time]]&lt;0.5, AllDataApr[[#This Row],[Time]]&gt;0.17)=TRUE, "Morning", IF(AND(AllDataApr[[#This Row],[Time]]&lt;0.75, AllDataApr[[#This Row],[Time]]&gt;=0.5)=TRUE, "Afternoon", IF(AND(AllDataApr[[#This Row],[Time]]&lt;1, AllDataApr[[#This Row],[Time]]&gt;=0.75)=TRUE, "Evening", "Night")))</f>
        <v>Morning</v>
      </c>
      <c r="G534" t="s">
        <v>150</v>
      </c>
      <c r="H534" t="str">
        <f>_xlfn.XLOOKUP(AllDataApr[[#This Row],[Location Name]], Locations[Row Labels],Locations[Group As])</f>
        <v>Stour Stretton-on-Fosse Sewage Works</v>
      </c>
      <c r="I534" t="str">
        <f>_xlfn.XLOOKUP(AllDataApr[[#This Row],[Site Name]],LocationsKey[Site Name],LocationsKey[Region])</f>
        <v>Shipston</v>
      </c>
      <c r="J534" t="str">
        <f>_xlfn.XLOOKUP(AllDataApr[[#This Row],[Site Name]],LocationsKey[Site Name], LocationsKey[Waterway])</f>
        <v>Stour</v>
      </c>
      <c r="K534" t="s">
        <v>151</v>
      </c>
      <c r="L534">
        <v>52.045610000000003</v>
      </c>
      <c r="M534">
        <v>-1.6719390000000001</v>
      </c>
      <c r="N534" t="s">
        <v>18</v>
      </c>
      <c r="O534">
        <v>760</v>
      </c>
      <c r="P534">
        <v>8.1</v>
      </c>
      <c r="Q534">
        <v>2</v>
      </c>
      <c r="R534" s="7" t="str">
        <f>IF(AllDataApr[[#This Row],[Nitrate (PPM)]]&gt;2, "Very high", IF(AllDataApr[[#This Row],[Nitrate (PPM)]]&gt;1, "High", IF(AllDataApr[[#This Row],[Nitrate (PPM)]]&gt;0.5, "Some evidence", IF(AllDataApr[[#This Row],[Nitrate (PPM)]]&gt;0, "No evidence", IF(AllDataApr[[#This Row],[Nitrate (PPM)]]=0, "")))))</f>
        <v>High</v>
      </c>
      <c r="S534">
        <v>2.5</v>
      </c>
      <c r="T534" s="7" t="str">
        <f>IF(AllDataApr[[#This Row],[Phosphate (PPM)]]&gt;0.5, "Very high", IF(AllDataApr[[#This Row],[Phosphate (PPM)]]&gt;0.1, "High", IF(AllDataApr[[#This Row],[Phosphate (PPM)]]&gt;0.05, "Some evidence", IF(AllDataApr[[#This Row],[Phosphate (PPM)]]=0, ""))))</f>
        <v>Very high</v>
      </c>
      <c r="U534">
        <v>0.3</v>
      </c>
      <c r="V534" t="s">
        <v>969</v>
      </c>
    </row>
    <row r="535" spans="1:22" x14ac:dyDescent="0.3">
      <c r="A535" t="s">
        <v>381</v>
      </c>
      <c r="B535" s="2">
        <v>45378</v>
      </c>
      <c r="C535" s="2" t="str" cm="1">
        <f t="array" ref="C53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35">
        <f>YEAR(AllDataApr[[#This Row],[Date]])</f>
        <v>2024</v>
      </c>
      <c r="E535" s="1">
        <v>0.40069444444444446</v>
      </c>
      <c r="F535" s="2" t="str">
        <f>IF(AND(AllDataApr[[#This Row],[Time]]&lt;0.5, AllDataApr[[#This Row],[Time]]&gt;0.17)=TRUE, "Morning", IF(AND(AllDataApr[[#This Row],[Time]]&lt;0.75, AllDataApr[[#This Row],[Time]]&gt;=0.5)=TRUE, "Afternoon", IF(AND(AllDataApr[[#This Row],[Time]]&lt;1, AllDataApr[[#This Row],[Time]]&gt;=0.75)=TRUE, "Evening", "Night")))</f>
        <v>Morning</v>
      </c>
      <c r="G535" t="s">
        <v>274</v>
      </c>
      <c r="H535" t="str">
        <f>_xlfn.XLOOKUP(AllDataApr[[#This Row],[Location Name]], Locations[Row Labels],Locations[Group As])</f>
        <v>Abbey Mill</v>
      </c>
      <c r="I535" t="str">
        <f>_xlfn.XLOOKUP(AllDataApr[[#This Row],[Site Name]],LocationsKey[Site Name],LocationsKey[Region])</f>
        <v>Tewkesbury</v>
      </c>
      <c r="J535" t="str">
        <f>_xlfn.XLOOKUP(AllDataApr[[#This Row],[Site Name]],LocationsKey[Site Name], LocationsKey[Waterway])</f>
        <v>Avon</v>
      </c>
      <c r="K535" t="s">
        <v>13</v>
      </c>
      <c r="L535">
        <v>51.991314000000003</v>
      </c>
      <c r="M535">
        <v>-2.1626799999999999</v>
      </c>
      <c r="N535" t="s">
        <v>18</v>
      </c>
      <c r="O535">
        <v>810</v>
      </c>
      <c r="P535">
        <v>9.8000000000000007</v>
      </c>
      <c r="Q535">
        <v>5</v>
      </c>
      <c r="R535" s="7" t="str">
        <f>IF(AllDataApr[[#This Row],[Nitrate (PPM)]]&gt;2, "Very high", IF(AllDataApr[[#This Row],[Nitrate (PPM)]]&gt;1, "High", IF(AllDataApr[[#This Row],[Nitrate (PPM)]]&gt;0.5, "Some evidence", IF(AllDataApr[[#This Row],[Nitrate (PPM)]]&gt;0, "No evidence", IF(AllDataApr[[#This Row],[Nitrate (PPM)]]=0, "")))))</f>
        <v>Very high</v>
      </c>
      <c r="S535">
        <v>0.98</v>
      </c>
      <c r="T535" s="7" t="str">
        <f>IF(AllDataApr[[#This Row],[Phosphate (PPM)]]&gt;0.5, "Very high", IF(AllDataApr[[#This Row],[Phosphate (PPM)]]&gt;0.1, "High", IF(AllDataApr[[#This Row],[Phosphate (PPM)]]&gt;0.05, "Some evidence", IF(AllDataApr[[#This Row],[Phosphate (PPM)]]=0, ""))))</f>
        <v>Very high</v>
      </c>
      <c r="U535">
        <v>0.7</v>
      </c>
      <c r="V535" t="s">
        <v>968</v>
      </c>
    </row>
    <row r="536" spans="1:22" x14ac:dyDescent="0.3">
      <c r="A536" t="s">
        <v>378</v>
      </c>
      <c r="B536" s="2">
        <v>45378</v>
      </c>
      <c r="C536" s="2" t="str" cm="1">
        <f t="array" ref="C53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36">
        <f>YEAR(AllDataApr[[#This Row],[Date]])</f>
        <v>2024</v>
      </c>
      <c r="E536" s="1">
        <v>0.57708333333333328</v>
      </c>
      <c r="F536" s="2" t="str">
        <f>IF(AND(AllDataApr[[#This Row],[Time]]&lt;0.5, AllDataApr[[#This Row],[Time]]&gt;0.17)=TRUE, "Morning", IF(AND(AllDataApr[[#This Row],[Time]]&lt;0.75, AllDataApr[[#This Row],[Time]]&gt;=0.5)=TRUE, "Afternoon", IF(AND(AllDataApr[[#This Row],[Time]]&lt;1, AllDataApr[[#This Row],[Time]]&gt;=0.75)=TRUE, "Evening", "Night")))</f>
        <v>Afternoon</v>
      </c>
      <c r="G536" t="s">
        <v>139</v>
      </c>
      <c r="H536" t="str">
        <f>_xlfn.XLOOKUP(AllDataApr[[#This Row],[Location Name]], Locations[Row Labels],Locations[Group As])</f>
        <v>Swiffen Bank</v>
      </c>
      <c r="I536" t="str">
        <f>_xlfn.XLOOKUP(AllDataApr[[#This Row],[Site Name]],LocationsKey[Site Name],LocationsKey[Region])</f>
        <v>Stratford</v>
      </c>
      <c r="J536" t="str">
        <f>_xlfn.XLOOKUP(AllDataApr[[#This Row],[Site Name]],LocationsKey[Site Name], LocationsKey[Waterway])</f>
        <v>Avon</v>
      </c>
      <c r="K536" t="s">
        <v>130</v>
      </c>
      <c r="N536" t="s">
        <v>18</v>
      </c>
      <c r="O536">
        <v>542</v>
      </c>
      <c r="P536">
        <v>12.1</v>
      </c>
      <c r="Q536">
        <v>5</v>
      </c>
      <c r="R536" s="7" t="str">
        <f>IF(AllDataApr[[#This Row],[Nitrate (PPM)]]&gt;2, "Very high", IF(AllDataApr[[#This Row],[Nitrate (PPM)]]&gt;1, "High", IF(AllDataApr[[#This Row],[Nitrate (PPM)]]&gt;0.5, "Some evidence", IF(AllDataApr[[#This Row],[Nitrate (PPM)]]&gt;0, "No evidence", IF(AllDataApr[[#This Row],[Nitrate (PPM)]]=0, "")))))</f>
        <v>Very high</v>
      </c>
      <c r="S536">
        <v>0.74</v>
      </c>
      <c r="T536" s="7" t="str">
        <f>IF(AllDataApr[[#This Row],[Phosphate (PPM)]]&gt;0.5, "Very high", IF(AllDataApr[[#This Row],[Phosphate (PPM)]]&gt;0.1, "High", IF(AllDataApr[[#This Row],[Phosphate (PPM)]]&gt;0.05, "Some evidence", IF(AllDataApr[[#This Row],[Phosphate (PPM)]]=0, ""))))</f>
        <v>Very high</v>
      </c>
      <c r="U536">
        <v>1.75</v>
      </c>
      <c r="V536" t="s">
        <v>967</v>
      </c>
    </row>
    <row r="537" spans="1:22" x14ac:dyDescent="0.3">
      <c r="A537" t="s">
        <v>377</v>
      </c>
      <c r="B537" s="2">
        <v>45378</v>
      </c>
      <c r="C537" s="2" t="str" cm="1">
        <f t="array" ref="C53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37">
        <f>YEAR(AllDataApr[[#This Row],[Date]])</f>
        <v>2024</v>
      </c>
      <c r="E537" s="1">
        <v>0.59375</v>
      </c>
      <c r="F537" s="2" t="str">
        <f>IF(AND(AllDataApr[[#This Row],[Time]]&lt;0.5, AllDataApr[[#This Row],[Time]]&gt;0.17)=TRUE, "Morning", IF(AND(AllDataApr[[#This Row],[Time]]&lt;0.75, AllDataApr[[#This Row],[Time]]&gt;=0.5)=TRUE, "Afternoon", IF(AND(AllDataApr[[#This Row],[Time]]&lt;1, AllDataApr[[#This Row],[Time]]&gt;=0.75)=TRUE, "Evening", "Night")))</f>
        <v>Afternoon</v>
      </c>
      <c r="G537" t="s">
        <v>156</v>
      </c>
      <c r="H537" t="str">
        <f>_xlfn.XLOOKUP(AllDataApr[[#This Row],[Location Name]], Locations[Row Labels],Locations[Group As])</f>
        <v>Alveston Weir</v>
      </c>
      <c r="I537" t="str">
        <f>_xlfn.XLOOKUP(AllDataApr[[#This Row],[Site Name]],LocationsKey[Site Name],LocationsKey[Region])</f>
        <v>Stratford</v>
      </c>
      <c r="J537" t="str">
        <f>_xlfn.XLOOKUP(AllDataApr[[#This Row],[Site Name]],LocationsKey[Site Name], LocationsKey[Waterway])</f>
        <v>Avon</v>
      </c>
      <c r="K537" t="s">
        <v>128</v>
      </c>
      <c r="L537">
        <v>52.212288999999998</v>
      </c>
      <c r="M537">
        <v>-1.660452</v>
      </c>
      <c r="N537" t="s">
        <v>18</v>
      </c>
      <c r="O537">
        <v>545</v>
      </c>
      <c r="P537">
        <v>11</v>
      </c>
      <c r="Q537">
        <v>5</v>
      </c>
      <c r="R537" s="7" t="str">
        <f>IF(AllDataApr[[#This Row],[Nitrate (PPM)]]&gt;2, "Very high", IF(AllDataApr[[#This Row],[Nitrate (PPM)]]&gt;1, "High", IF(AllDataApr[[#This Row],[Nitrate (PPM)]]&gt;0.5, "Some evidence", IF(AllDataApr[[#This Row],[Nitrate (PPM)]]&gt;0, "No evidence", IF(AllDataApr[[#This Row],[Nitrate (PPM)]]=0, "")))))</f>
        <v>Very high</v>
      </c>
      <c r="S537">
        <v>0.43</v>
      </c>
      <c r="T537" s="7" t="str">
        <f>IF(AllDataApr[[#This Row],[Phosphate (PPM)]]&gt;0.5, "Very high", IF(AllDataApr[[#This Row],[Phosphate (PPM)]]&gt;0.1, "High", IF(AllDataApr[[#This Row],[Phosphate (PPM)]]&gt;0.05, "Some evidence", IF(AllDataApr[[#This Row],[Phosphate (PPM)]]=0, ""))))</f>
        <v>High</v>
      </c>
      <c r="U537">
        <v>1.75</v>
      </c>
      <c r="V537" t="s">
        <v>966</v>
      </c>
    </row>
    <row r="538" spans="1:22" x14ac:dyDescent="0.3">
      <c r="A538" t="s">
        <v>364</v>
      </c>
      <c r="B538" s="2">
        <v>45379</v>
      </c>
      <c r="C538" s="2" t="str" cm="1">
        <f t="array" ref="C53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38">
        <f>YEAR(AllDataApr[[#This Row],[Date]])</f>
        <v>2024</v>
      </c>
      <c r="E538" s="1">
        <v>0.44722222222222224</v>
      </c>
      <c r="F538" s="2" t="str">
        <f>IF(AND(AllDataApr[[#This Row],[Time]]&lt;0.5, AllDataApr[[#This Row],[Time]]&gt;0.17)=TRUE, "Morning", IF(AND(AllDataApr[[#This Row],[Time]]&lt;0.75, AllDataApr[[#This Row],[Time]]&gt;=0.5)=TRUE, "Afternoon", IF(AND(AllDataApr[[#This Row],[Time]]&lt;1, AllDataApr[[#This Row],[Time]]&gt;=0.75)=TRUE, "Evening", "Night")))</f>
        <v>Morning</v>
      </c>
      <c r="G538" t="s">
        <v>220</v>
      </c>
      <c r="H538" t="str">
        <f>_xlfn.XLOOKUP(AllDataApr[[#This Row],[Location Name]], Locations[Row Labels],Locations[Group As])</f>
        <v>Stour Willington</v>
      </c>
      <c r="I538" t="str">
        <f>_xlfn.XLOOKUP(AllDataApr[[#This Row],[Site Name]],LocationsKey[Site Name],LocationsKey[Region])</f>
        <v>Shipston</v>
      </c>
      <c r="J538" t="str">
        <f>_xlfn.XLOOKUP(AllDataApr[[#This Row],[Site Name]],LocationsKey[Site Name], LocationsKey[Waterway])</f>
        <v>Stour</v>
      </c>
      <c r="K538" t="s">
        <v>197</v>
      </c>
      <c r="L538">
        <v>52.053576999999997</v>
      </c>
      <c r="M538">
        <v>-1.6201719999999999</v>
      </c>
      <c r="O538">
        <v>353</v>
      </c>
      <c r="P538">
        <v>10.199999999999999</v>
      </c>
      <c r="Q538">
        <v>1.5</v>
      </c>
      <c r="R538" s="7" t="str">
        <f>IF(AllDataApr[[#This Row],[Nitrate (PPM)]]&gt;2, "Very high", IF(AllDataApr[[#This Row],[Nitrate (PPM)]]&gt;1, "High", IF(AllDataApr[[#This Row],[Nitrate (PPM)]]&gt;0.5, "Some evidence", IF(AllDataApr[[#This Row],[Nitrate (PPM)]]&gt;0, "No evidence", IF(AllDataApr[[#This Row],[Nitrate (PPM)]]=0, "")))))</f>
        <v>High</v>
      </c>
      <c r="S538">
        <v>0.25</v>
      </c>
      <c r="T538" s="7" t="str">
        <f>IF(AllDataApr[[#This Row],[Phosphate (PPM)]]&gt;0.5, "Very high", IF(AllDataApr[[#This Row],[Phosphate (PPM)]]&gt;0.1, "High", IF(AllDataApr[[#This Row],[Phosphate (PPM)]]&gt;0.05, "Some evidence", IF(AllDataApr[[#This Row],[Phosphate (PPM)]]=0, ""))))</f>
        <v>High</v>
      </c>
      <c r="U538">
        <v>0.5</v>
      </c>
    </row>
    <row r="539" spans="1:22" x14ac:dyDescent="0.3">
      <c r="A539" t="s">
        <v>329</v>
      </c>
      <c r="B539" s="2">
        <v>45379</v>
      </c>
      <c r="C539" s="2" t="str" cm="1">
        <f t="array" ref="C53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39">
        <f>YEAR(AllDataApr[[#This Row],[Date]])</f>
        <v>2024</v>
      </c>
      <c r="E539" s="1">
        <v>0.44791666666666669</v>
      </c>
      <c r="F539" s="2" t="str">
        <f>IF(AND(AllDataApr[[#This Row],[Time]]&lt;0.5, AllDataApr[[#This Row],[Time]]&gt;0.17)=TRUE, "Morning", IF(AND(AllDataApr[[#This Row],[Time]]&lt;0.75, AllDataApr[[#This Row],[Time]]&gt;=0.5)=TRUE, "Afternoon", IF(AND(AllDataApr[[#This Row],[Time]]&lt;1, AllDataApr[[#This Row],[Time]]&gt;=0.75)=TRUE, "Evening", "Night")))</f>
        <v>Morning</v>
      </c>
      <c r="G539" t="s">
        <v>46</v>
      </c>
      <c r="H539" t="str">
        <f>_xlfn.XLOOKUP(AllDataApr[[#This Row],[Location Name]], Locations[Row Labels],Locations[Group As])</f>
        <v>Swilgate</v>
      </c>
      <c r="I539" t="str">
        <f>_xlfn.XLOOKUP(AllDataApr[[#This Row],[Site Name]],LocationsKey[Site Name],LocationsKey[Region])</f>
        <v>Tewkesbury</v>
      </c>
      <c r="J539" t="str">
        <f>_xlfn.XLOOKUP(AllDataApr[[#This Row],[Site Name]],LocationsKey[Site Name], LocationsKey[Waterway])</f>
        <v>Swilgate</v>
      </c>
      <c r="K539" t="s">
        <v>47</v>
      </c>
      <c r="N539" t="s">
        <v>200</v>
      </c>
      <c r="O539">
        <v>450</v>
      </c>
      <c r="P539">
        <v>8.8000000000000007</v>
      </c>
      <c r="Q539">
        <v>2</v>
      </c>
      <c r="R539" s="7" t="str">
        <f>IF(AllDataApr[[#This Row],[Nitrate (PPM)]]&gt;2, "Very high", IF(AllDataApr[[#This Row],[Nitrate (PPM)]]&gt;1, "High", IF(AllDataApr[[#This Row],[Nitrate (PPM)]]&gt;0.5, "Some evidence", IF(AllDataApr[[#This Row],[Nitrate (PPM)]]&gt;0, "No evidence", IF(AllDataApr[[#This Row],[Nitrate (PPM)]]=0, "")))))</f>
        <v>High</v>
      </c>
      <c r="S539">
        <v>0.43</v>
      </c>
      <c r="T539" s="7" t="str">
        <f>IF(AllDataApr[[#This Row],[Phosphate (PPM)]]&gt;0.5, "Very high", IF(AllDataApr[[#This Row],[Phosphate (PPM)]]&gt;0.1, "High", IF(AllDataApr[[#This Row],[Phosphate (PPM)]]&gt;0.05, "Some evidence", IF(AllDataApr[[#This Row],[Phosphate (PPM)]]=0, ""))))</f>
        <v>High</v>
      </c>
      <c r="U539">
        <v>1.5</v>
      </c>
    </row>
    <row r="540" spans="1:22" x14ac:dyDescent="0.3">
      <c r="A540" t="s">
        <v>375</v>
      </c>
      <c r="B540" s="2">
        <v>45381</v>
      </c>
      <c r="C540" s="2" t="str" cm="1">
        <f t="array" ref="C54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40">
        <f>YEAR(AllDataApr[[#This Row],[Date]])</f>
        <v>2024</v>
      </c>
      <c r="E540" s="1">
        <v>0.45416666666666666</v>
      </c>
      <c r="F540" s="2" t="str">
        <f>IF(AND(AllDataApr[[#This Row],[Time]]&lt;0.5, AllDataApr[[#This Row],[Time]]&gt;0.17)=TRUE, "Morning", IF(AND(AllDataApr[[#This Row],[Time]]&lt;0.75, AllDataApr[[#This Row],[Time]]&gt;=0.5)=TRUE, "Afternoon", IF(AND(AllDataApr[[#This Row],[Time]]&lt;1, AllDataApr[[#This Row],[Time]]&gt;=0.75)=TRUE, "Evening", "Night")))</f>
        <v>Morning</v>
      </c>
      <c r="G540" t="s">
        <v>904</v>
      </c>
      <c r="H540" t="str">
        <f>_xlfn.XLOOKUP(AllDataApr[[#This Row],[Location Name]], Locations[Row Labels],Locations[Group As])</f>
        <v>Avon Smiths Meadow Wyre Piddle</v>
      </c>
      <c r="I540" t="str">
        <f>_xlfn.XLOOKUP(AllDataApr[[#This Row],[Site Name]],LocationsKey[Site Name],LocationsKey[Region])</f>
        <v>Pershore</v>
      </c>
      <c r="J540" t="str">
        <f>_xlfn.XLOOKUP(AllDataApr[[#This Row],[Site Name]],LocationsKey[Site Name], LocationsKey[Waterway])</f>
        <v>Avon</v>
      </c>
      <c r="K540" t="s">
        <v>909</v>
      </c>
      <c r="L540">
        <v>52.124921000000001</v>
      </c>
      <c r="M540">
        <v>-2.053655</v>
      </c>
      <c r="N540" t="s">
        <v>200</v>
      </c>
      <c r="O540">
        <v>492</v>
      </c>
      <c r="P540">
        <v>10.5</v>
      </c>
      <c r="Q540">
        <v>5</v>
      </c>
      <c r="R540" s="7" t="str">
        <f>IF(AllDataApr[[#This Row],[Nitrate (PPM)]]&gt;2, "Very high", IF(AllDataApr[[#This Row],[Nitrate (PPM)]]&gt;1, "High", IF(AllDataApr[[#This Row],[Nitrate (PPM)]]&gt;0.5, "Some evidence", IF(AllDataApr[[#This Row],[Nitrate (PPM)]]&gt;0, "No evidence", IF(AllDataApr[[#This Row],[Nitrate (PPM)]]=0, "")))))</f>
        <v>Very high</v>
      </c>
      <c r="S540">
        <v>0.47</v>
      </c>
      <c r="T540" s="7" t="str">
        <f>IF(AllDataApr[[#This Row],[Phosphate (PPM)]]&gt;0.5, "Very high", IF(AllDataApr[[#This Row],[Phosphate (PPM)]]&gt;0.1, "High", IF(AllDataApr[[#This Row],[Phosphate (PPM)]]&gt;0.05, "Some evidence", IF(AllDataApr[[#This Row],[Phosphate (PPM)]]=0, ""))))</f>
        <v>High</v>
      </c>
      <c r="U540">
        <v>1.88</v>
      </c>
      <c r="V540" t="s">
        <v>965</v>
      </c>
    </row>
    <row r="541" spans="1:22" x14ac:dyDescent="0.3">
      <c r="A541" t="s">
        <v>373</v>
      </c>
      <c r="B541" s="2">
        <v>45381</v>
      </c>
      <c r="C541" s="2" t="str" cm="1">
        <f t="array" ref="C54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41">
        <f>YEAR(AllDataApr[[#This Row],[Date]])</f>
        <v>2024</v>
      </c>
      <c r="E541" s="1">
        <v>0.50347222222222221</v>
      </c>
      <c r="F541" s="2" t="str">
        <f>IF(AND(AllDataApr[[#This Row],[Time]]&lt;0.5, AllDataApr[[#This Row],[Time]]&gt;0.17)=TRUE, "Morning", IF(AND(AllDataApr[[#This Row],[Time]]&lt;0.75, AllDataApr[[#This Row],[Time]]&gt;=0.5)=TRUE, "Afternoon", IF(AND(AllDataApr[[#This Row],[Time]]&lt;1, AllDataApr[[#This Row],[Time]]&gt;=0.75)=TRUE, "Evening", "Night")))</f>
        <v>Afternoon</v>
      </c>
      <c r="G541" t="s">
        <v>222</v>
      </c>
      <c r="H541" t="str">
        <f>_xlfn.XLOOKUP(AllDataApr[[#This Row],[Location Name]], Locations[Row Labels],Locations[Group As])</f>
        <v>Pershore Bridges</v>
      </c>
      <c r="I541" t="str">
        <f>_xlfn.XLOOKUP(AllDataApr[[#This Row],[Site Name]],LocationsKey[Site Name],LocationsKey[Region])</f>
        <v>Pershore</v>
      </c>
      <c r="J541" t="str">
        <f>_xlfn.XLOOKUP(AllDataApr[[#This Row],[Site Name]],LocationsKey[Site Name], LocationsKey[Waterway])</f>
        <v>Avon</v>
      </c>
      <c r="K541" t="s">
        <v>272</v>
      </c>
      <c r="L541">
        <v>52.104187000000003</v>
      </c>
      <c r="M541">
        <v>-2.0709179999999998</v>
      </c>
      <c r="O541">
        <v>520</v>
      </c>
      <c r="P541">
        <v>13.4</v>
      </c>
      <c r="Q541">
        <v>10</v>
      </c>
      <c r="R541" s="7" t="str">
        <f>IF(AllDataApr[[#This Row],[Nitrate (PPM)]]&gt;2, "Very high", IF(AllDataApr[[#This Row],[Nitrate (PPM)]]&gt;1, "High", IF(AllDataApr[[#This Row],[Nitrate (PPM)]]&gt;0.5, "Some evidence", IF(AllDataApr[[#This Row],[Nitrate (PPM)]]&gt;0, "No evidence", IF(AllDataApr[[#This Row],[Nitrate (PPM)]]=0, "")))))</f>
        <v>Very high</v>
      </c>
      <c r="S541">
        <v>0.53</v>
      </c>
      <c r="T541" s="7" t="str">
        <f>IF(AllDataApr[[#This Row],[Phosphate (PPM)]]&gt;0.5, "Very high", IF(AllDataApr[[#This Row],[Phosphate (PPM)]]&gt;0.1, "High", IF(AllDataApr[[#This Row],[Phosphate (PPM)]]&gt;0.05, "Some evidence", IF(AllDataApr[[#This Row],[Phosphate (PPM)]]=0, ""))))</f>
        <v>Very high</v>
      </c>
      <c r="U541">
        <v>3.41</v>
      </c>
    </row>
    <row r="542" spans="1:22" x14ac:dyDescent="0.3">
      <c r="A542" t="s">
        <v>374</v>
      </c>
      <c r="B542" s="2">
        <v>45381</v>
      </c>
      <c r="C542" s="2" t="str" cm="1">
        <f t="array" ref="C54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42">
        <f>YEAR(AllDataApr[[#This Row],[Date]])</f>
        <v>2024</v>
      </c>
      <c r="E542" s="1">
        <v>0.50486111111111109</v>
      </c>
      <c r="F542" s="2" t="str">
        <f>IF(AND(AllDataApr[[#This Row],[Time]]&lt;0.5, AllDataApr[[#This Row],[Time]]&gt;0.17)=TRUE, "Morning", IF(AND(AllDataApr[[#This Row],[Time]]&lt;0.75, AllDataApr[[#This Row],[Time]]&gt;=0.5)=TRUE, "Afternoon", IF(AND(AllDataApr[[#This Row],[Time]]&lt;1, AllDataApr[[#This Row],[Time]]&gt;=0.75)=TRUE, "Evening", "Night")))</f>
        <v>Afternoon</v>
      </c>
      <c r="G542" t="s">
        <v>905</v>
      </c>
      <c r="H542" t="str">
        <f>_xlfn.XLOOKUP(AllDataApr[[#This Row],[Location Name]], Locations[Row Labels],Locations[Group As])</f>
        <v>Piddle Brook Wyre Piddle Bridge</v>
      </c>
      <c r="I542" t="str">
        <f>_xlfn.XLOOKUP(AllDataApr[[#This Row],[Site Name]],LocationsKey[Site Name],LocationsKey[Region])</f>
        <v>Pershore</v>
      </c>
      <c r="J542" t="str">
        <f>_xlfn.XLOOKUP(AllDataApr[[#This Row],[Site Name]],LocationsKey[Site Name], LocationsKey[Waterway])</f>
        <v>Piddle Brook</v>
      </c>
      <c r="K542" t="s">
        <v>908</v>
      </c>
      <c r="L542">
        <v>52.126382999999997</v>
      </c>
      <c r="M542">
        <v>-2.0565329999999999</v>
      </c>
      <c r="N542" t="s">
        <v>200</v>
      </c>
      <c r="O542">
        <v>650</v>
      </c>
      <c r="P542">
        <v>10.8</v>
      </c>
      <c r="Q542">
        <v>4</v>
      </c>
      <c r="R542" s="7" t="str">
        <f>IF(AllDataApr[[#This Row],[Nitrate (PPM)]]&gt;2, "Very high", IF(AllDataApr[[#This Row],[Nitrate (PPM)]]&gt;1, "High", IF(AllDataApr[[#This Row],[Nitrate (PPM)]]&gt;0.5, "Some evidence", IF(AllDataApr[[#This Row],[Nitrate (PPM)]]&gt;0, "No evidence", IF(AllDataApr[[#This Row],[Nitrate (PPM)]]=0, "")))))</f>
        <v>Very high</v>
      </c>
      <c r="S542">
        <v>0.37</v>
      </c>
      <c r="T542" s="7" t="str">
        <f>IF(AllDataApr[[#This Row],[Phosphate (PPM)]]&gt;0.5, "Very high", IF(AllDataApr[[#This Row],[Phosphate (PPM)]]&gt;0.1, "High", IF(AllDataApr[[#This Row],[Phosphate (PPM)]]&gt;0.05, "Some evidence", IF(AllDataApr[[#This Row],[Phosphate (PPM)]]=0, ""))))</f>
        <v>High</v>
      </c>
      <c r="U542">
        <v>0.72</v>
      </c>
      <c r="V542" t="s">
        <v>964</v>
      </c>
    </row>
    <row r="543" spans="1:22" x14ac:dyDescent="0.3">
      <c r="A543" t="s">
        <v>372</v>
      </c>
      <c r="B543" s="2">
        <v>45381</v>
      </c>
      <c r="C543" s="2" t="str" cm="1">
        <f t="array" ref="C54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43">
        <f>YEAR(AllDataApr[[#This Row],[Date]])</f>
        <v>2024</v>
      </c>
      <c r="E543" s="1">
        <v>0.53611111111111109</v>
      </c>
      <c r="F543" s="2" t="str">
        <f>IF(AND(AllDataApr[[#This Row],[Time]]&lt;0.5, AllDataApr[[#This Row],[Time]]&gt;0.17)=TRUE, "Morning", IF(AND(AllDataApr[[#This Row],[Time]]&lt;0.75, AllDataApr[[#This Row],[Time]]&gt;=0.5)=TRUE, "Afternoon", IF(AND(AllDataApr[[#This Row],[Time]]&lt;1, AllDataApr[[#This Row],[Time]]&gt;=0.75)=TRUE, "Evening", "Night")))</f>
        <v>Afternoon</v>
      </c>
      <c r="G543" t="s">
        <v>59</v>
      </c>
      <c r="H543" t="str">
        <f>_xlfn.XLOOKUP(AllDataApr[[#This Row],[Location Name]], Locations[Row Labels],Locations[Group As])</f>
        <v>Preston-on-Stour River Bridge</v>
      </c>
      <c r="I543" t="str">
        <f>_xlfn.XLOOKUP(AllDataApr[[#This Row],[Site Name]],LocationsKey[Site Name],LocationsKey[Region])</f>
        <v>Stratford</v>
      </c>
      <c r="J543" t="str">
        <f>_xlfn.XLOOKUP(AllDataApr[[#This Row],[Site Name]],LocationsKey[Site Name], LocationsKey[Waterway])</f>
        <v>Stour</v>
      </c>
      <c r="K543" t="s">
        <v>78</v>
      </c>
      <c r="L543">
        <v>52.146521999999997</v>
      </c>
      <c r="M543">
        <v>-1.6998</v>
      </c>
      <c r="N543" t="s">
        <v>18</v>
      </c>
      <c r="O543">
        <v>541</v>
      </c>
      <c r="P543">
        <v>10.8</v>
      </c>
      <c r="Q543">
        <v>6</v>
      </c>
      <c r="R543" s="7" t="str">
        <f>IF(AllDataApr[[#This Row],[Nitrate (PPM)]]&gt;2, "Very high", IF(AllDataApr[[#This Row],[Nitrate (PPM)]]&gt;1, "High", IF(AllDataApr[[#This Row],[Nitrate (PPM)]]&gt;0.5, "Some evidence", IF(AllDataApr[[#This Row],[Nitrate (PPM)]]&gt;0, "No evidence", IF(AllDataApr[[#This Row],[Nitrate (PPM)]]=0, "")))))</f>
        <v>Very high</v>
      </c>
      <c r="S543">
        <v>0.21</v>
      </c>
      <c r="T543" s="7" t="str">
        <f>IF(AllDataApr[[#This Row],[Phosphate (PPM)]]&gt;0.5, "Very high", IF(AllDataApr[[#This Row],[Phosphate (PPM)]]&gt;0.1, "High", IF(AllDataApr[[#This Row],[Phosphate (PPM)]]&gt;0.05, "Some evidence", IF(AllDataApr[[#This Row],[Phosphate (PPM)]]=0, ""))))</f>
        <v>High</v>
      </c>
      <c r="U543">
        <v>2</v>
      </c>
    </row>
    <row r="544" spans="1:22" x14ac:dyDescent="0.3">
      <c r="A544" t="s">
        <v>365</v>
      </c>
      <c r="B544" s="2">
        <v>45381</v>
      </c>
      <c r="C544" s="2" t="str" cm="1">
        <f t="array" ref="C54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44">
        <f>YEAR(AllDataApr[[#This Row],[Date]])</f>
        <v>2024</v>
      </c>
      <c r="E544" s="1">
        <v>0.65277777777777779</v>
      </c>
      <c r="F544" s="2" t="str">
        <f>IF(AND(AllDataApr[[#This Row],[Time]]&lt;0.5, AllDataApr[[#This Row],[Time]]&gt;0.17)=TRUE, "Morning", IF(AND(AllDataApr[[#This Row],[Time]]&lt;0.75, AllDataApr[[#This Row],[Time]]&gt;=0.5)=TRUE, "Afternoon", IF(AND(AllDataApr[[#This Row],[Time]]&lt;1, AllDataApr[[#This Row],[Time]]&gt;=0.75)=TRUE, "Evening", "Night")))</f>
        <v>Afternoon</v>
      </c>
      <c r="G544" t="s">
        <v>901</v>
      </c>
      <c r="H544" t="str">
        <f>_xlfn.XLOOKUP(AllDataApr[[#This Row],[Location Name]], Locations[Row Labels],Locations[Group As])</f>
        <v>Stour Ascott Village</v>
      </c>
      <c r="I544" t="str">
        <f>_xlfn.XLOOKUP(AllDataApr[[#This Row],[Site Name]],LocationsKey[Site Name],LocationsKey[Region])</f>
        <v>Shipston</v>
      </c>
      <c r="J544" t="str">
        <f>_xlfn.XLOOKUP(AllDataApr[[#This Row],[Site Name]],LocationsKey[Site Name], LocationsKey[Waterway])</f>
        <v>Stour</v>
      </c>
      <c r="K544" t="s">
        <v>911</v>
      </c>
      <c r="N544" t="s">
        <v>42</v>
      </c>
      <c r="O544">
        <v>50.06</v>
      </c>
      <c r="P544">
        <v>13.7</v>
      </c>
      <c r="Q544">
        <v>2</v>
      </c>
      <c r="R544" s="7" t="str">
        <f>IF(AllDataApr[[#This Row],[Nitrate (PPM)]]&gt;2, "Very high", IF(AllDataApr[[#This Row],[Nitrate (PPM)]]&gt;1, "High", IF(AllDataApr[[#This Row],[Nitrate (PPM)]]&gt;0.5, "Some evidence", IF(AllDataApr[[#This Row],[Nitrate (PPM)]]&gt;0, "No evidence", IF(AllDataApr[[#This Row],[Nitrate (PPM)]]=0, "")))))</f>
        <v>High</v>
      </c>
      <c r="S544">
        <v>0.73</v>
      </c>
      <c r="T544" s="7" t="str">
        <f>IF(AllDataApr[[#This Row],[Phosphate (PPM)]]&gt;0.5, "Very high", IF(AllDataApr[[#This Row],[Phosphate (PPM)]]&gt;0.1, "High", IF(AllDataApr[[#This Row],[Phosphate (PPM)]]&gt;0.05, "Some evidence", IF(AllDataApr[[#This Row],[Phosphate (PPM)]]=0, ""))))</f>
        <v>Very high</v>
      </c>
      <c r="U544">
        <v>17</v>
      </c>
    </row>
    <row r="545" spans="1:22" x14ac:dyDescent="0.3">
      <c r="A545" t="s">
        <v>366</v>
      </c>
      <c r="B545" s="2">
        <v>45381</v>
      </c>
      <c r="C545" s="2" t="str" cm="1">
        <f t="array" ref="C54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45">
        <f>YEAR(AllDataApr[[#This Row],[Date]])</f>
        <v>2024</v>
      </c>
      <c r="E545" s="1">
        <v>0.67708333333333337</v>
      </c>
      <c r="F545" s="2" t="str">
        <f>IF(AND(AllDataApr[[#This Row],[Time]]&lt;0.5, AllDataApr[[#This Row],[Time]]&gt;0.17)=TRUE, "Morning", IF(AND(AllDataApr[[#This Row],[Time]]&lt;0.75, AllDataApr[[#This Row],[Time]]&gt;=0.5)=TRUE, "Afternoon", IF(AND(AllDataApr[[#This Row],[Time]]&lt;1, AllDataApr[[#This Row],[Time]]&gt;=0.75)=TRUE, "Evening", "Night")))</f>
        <v>Afternoon</v>
      </c>
      <c r="G545" t="s">
        <v>901</v>
      </c>
      <c r="H545" t="str">
        <f>_xlfn.XLOOKUP(AllDataApr[[#This Row],[Location Name]], Locations[Row Labels],Locations[Group As])</f>
        <v>Stour Whichford</v>
      </c>
      <c r="I545" t="str">
        <f>_xlfn.XLOOKUP(AllDataApr[[#This Row],[Site Name]],LocationsKey[Site Name],LocationsKey[Region])</f>
        <v>Shipston</v>
      </c>
      <c r="J545" t="str">
        <f>_xlfn.XLOOKUP(AllDataApr[[#This Row],[Site Name]],LocationsKey[Site Name], LocationsKey[Waterway])</f>
        <v>Stour</v>
      </c>
      <c r="K545" t="s">
        <v>912</v>
      </c>
      <c r="N545" t="s">
        <v>18</v>
      </c>
      <c r="O545">
        <v>53.7</v>
      </c>
      <c r="P545">
        <v>12.5</v>
      </c>
      <c r="Q545">
        <v>2</v>
      </c>
      <c r="R545" s="7" t="str">
        <f>IF(AllDataApr[[#This Row],[Nitrate (PPM)]]&gt;2, "Very high", IF(AllDataApr[[#This Row],[Nitrate (PPM)]]&gt;1, "High", IF(AllDataApr[[#This Row],[Nitrate (PPM)]]&gt;0.5, "Some evidence", IF(AllDataApr[[#This Row],[Nitrate (PPM)]]&gt;0, "No evidence", IF(AllDataApr[[#This Row],[Nitrate (PPM)]]=0, "")))))</f>
        <v>High</v>
      </c>
      <c r="S545">
        <v>0.31</v>
      </c>
      <c r="T545" s="7" t="str">
        <f>IF(AllDataApr[[#This Row],[Phosphate (PPM)]]&gt;0.5, "Very high", IF(AllDataApr[[#This Row],[Phosphate (PPM)]]&gt;0.1, "High", IF(AllDataApr[[#This Row],[Phosphate (PPM)]]&gt;0.05, "Some evidence", IF(AllDataApr[[#This Row],[Phosphate (PPM)]]=0, ""))))</f>
        <v>High</v>
      </c>
      <c r="U545">
        <v>29</v>
      </c>
    </row>
    <row r="546" spans="1:22" x14ac:dyDescent="0.3">
      <c r="A546" t="s">
        <v>314</v>
      </c>
      <c r="B546" s="2">
        <v>45382</v>
      </c>
      <c r="C546" s="2" t="str" cm="1">
        <f t="array" ref="C54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46">
        <f>YEAR(AllDataApr[[#This Row],[Date]])</f>
        <v>2024</v>
      </c>
      <c r="E546" s="1">
        <v>5.2777777777777778E-2</v>
      </c>
      <c r="F546" s="2" t="str">
        <f>IF(AND(AllDataApr[[#This Row],[Time]]&lt;0.5, AllDataApr[[#This Row],[Time]]&gt;0.17)=TRUE, "Morning", IF(AND(AllDataApr[[#This Row],[Time]]&lt;0.75, AllDataApr[[#This Row],[Time]]&gt;=0.5)=TRUE, "Afternoon", IF(AND(AllDataApr[[#This Row],[Time]]&lt;1, AllDataApr[[#This Row],[Time]]&gt;=0.75)=TRUE, "Evening", "Night")))</f>
        <v>Night</v>
      </c>
      <c r="G546" t="s">
        <v>902</v>
      </c>
      <c r="H546" t="str">
        <f>_xlfn.XLOOKUP(AllDataApr[[#This Row],[Location Name]], Locations[Row Labels],Locations[Group As])</f>
        <v>The Ford, Langley</v>
      </c>
      <c r="I546" t="str">
        <f>_xlfn.XLOOKUP(AllDataApr[[#This Row],[Site Name]],LocationsKey[Site Name],LocationsKey[Region])</f>
        <v>Henley-in-Arden</v>
      </c>
      <c r="J546" t="str">
        <f>_xlfn.XLOOKUP(AllDataApr[[#This Row],[Site Name]],LocationsKey[Site Name], LocationsKey[Waterway])</f>
        <v>Langley Ford</v>
      </c>
      <c r="K546" t="s">
        <v>230</v>
      </c>
      <c r="L546">
        <v>52.259639</v>
      </c>
      <c r="M546">
        <v>-1.7181999999999999</v>
      </c>
      <c r="N546" t="s">
        <v>18</v>
      </c>
      <c r="O546">
        <v>522</v>
      </c>
      <c r="P546">
        <v>8.8000000000000007</v>
      </c>
      <c r="Q546">
        <v>2</v>
      </c>
      <c r="R546" s="7" t="str">
        <f>IF(AllDataApr[[#This Row],[Nitrate (PPM)]]&gt;2, "Very high", IF(AllDataApr[[#This Row],[Nitrate (PPM)]]&gt;1, "High", IF(AllDataApr[[#This Row],[Nitrate (PPM)]]&gt;0.5, "Some evidence", IF(AllDataApr[[#This Row],[Nitrate (PPM)]]&gt;0, "No evidence", IF(AllDataApr[[#This Row],[Nitrate (PPM)]]=0, "")))))</f>
        <v>High</v>
      </c>
      <c r="S546">
        <v>0.6</v>
      </c>
      <c r="T546" s="7" t="str">
        <f>IF(AllDataApr[[#This Row],[Phosphate (PPM)]]&gt;0.5, "Very high", IF(AllDataApr[[#This Row],[Phosphate (PPM)]]&gt;0.1, "High", IF(AllDataApr[[#This Row],[Phosphate (PPM)]]&gt;0.05, "Some evidence", IF(AllDataApr[[#This Row],[Phosphate (PPM)]]=0, ""))))</f>
        <v>Very high</v>
      </c>
      <c r="U546">
        <v>0.5</v>
      </c>
      <c r="V546" t="s">
        <v>937</v>
      </c>
    </row>
    <row r="547" spans="1:22" x14ac:dyDescent="0.3">
      <c r="A547" t="s">
        <v>371</v>
      </c>
      <c r="B547" s="2">
        <v>45382</v>
      </c>
      <c r="C547" s="2" t="str" cm="1">
        <f t="array" ref="C54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47">
        <f>YEAR(AllDataApr[[#This Row],[Date]])</f>
        <v>2024</v>
      </c>
      <c r="E547" s="1">
        <v>0.44444444444444442</v>
      </c>
      <c r="F547" s="2" t="str">
        <f>IF(AND(AllDataApr[[#This Row],[Time]]&lt;0.5, AllDataApr[[#This Row],[Time]]&gt;0.17)=TRUE, "Morning", IF(AND(AllDataApr[[#This Row],[Time]]&lt;0.75, AllDataApr[[#This Row],[Time]]&gt;=0.5)=TRUE, "Afternoon", IF(AND(AllDataApr[[#This Row],[Time]]&lt;1, AllDataApr[[#This Row],[Time]]&gt;=0.75)=TRUE, "Evening", "Night")))</f>
        <v>Morning</v>
      </c>
      <c r="G547" t="s">
        <v>38</v>
      </c>
      <c r="H547" t="str">
        <f>_xlfn.XLOOKUP(AllDataApr[[#This Row],[Location Name]], Locations[Row Labels],Locations[Group As])</f>
        <v>Pitch 16</v>
      </c>
      <c r="I547" t="str">
        <f>_xlfn.XLOOKUP(AllDataApr[[#This Row],[Site Name]],LocationsKey[Site Name],LocationsKey[Region])</f>
        <v>Stratford</v>
      </c>
      <c r="J547" t="str">
        <f>_xlfn.XLOOKUP(AllDataApr[[#This Row],[Site Name]],LocationsKey[Site Name], LocationsKey[Waterway])</f>
        <v>Avon</v>
      </c>
      <c r="K547" t="s">
        <v>39</v>
      </c>
      <c r="L547">
        <v>52.172958999999999</v>
      </c>
      <c r="M547">
        <v>-1.745298</v>
      </c>
      <c r="N547" t="s">
        <v>18</v>
      </c>
      <c r="O547">
        <v>586</v>
      </c>
      <c r="P547">
        <v>11.1</v>
      </c>
      <c r="Q547">
        <v>3</v>
      </c>
      <c r="R547" s="7" t="str">
        <f>IF(AllDataApr[[#This Row],[Nitrate (PPM)]]&gt;2, "Very high", IF(AllDataApr[[#This Row],[Nitrate (PPM)]]&gt;1, "High", IF(AllDataApr[[#This Row],[Nitrate (PPM)]]&gt;0.5, "Some evidence", IF(AllDataApr[[#This Row],[Nitrate (PPM)]]&gt;0, "No evidence", IF(AllDataApr[[#This Row],[Nitrate (PPM)]]=0, "")))))</f>
        <v>Very high</v>
      </c>
      <c r="S547">
        <v>0.46</v>
      </c>
      <c r="T547" s="7" t="str">
        <f>IF(AllDataApr[[#This Row],[Phosphate (PPM)]]&gt;0.5, "Very high", IF(AllDataApr[[#This Row],[Phosphate (PPM)]]&gt;0.1, "High", IF(AllDataApr[[#This Row],[Phosphate (PPM)]]&gt;0.05, "Some evidence", IF(AllDataApr[[#This Row],[Phosphate (PPM)]]=0, ""))))</f>
        <v>High</v>
      </c>
      <c r="U547">
        <v>0.84</v>
      </c>
      <c r="V547" t="s">
        <v>963</v>
      </c>
    </row>
    <row r="548" spans="1:22" x14ac:dyDescent="0.3">
      <c r="A548" t="s">
        <v>370</v>
      </c>
      <c r="B548" s="2">
        <v>45382</v>
      </c>
      <c r="C548" s="2" t="str" cm="1">
        <f t="array" ref="C54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48">
        <f>YEAR(AllDataApr[[#This Row],[Date]])</f>
        <v>2024</v>
      </c>
      <c r="E548" s="1">
        <v>0.45833333333333331</v>
      </c>
      <c r="F548" s="2" t="str">
        <f>IF(AND(AllDataApr[[#This Row],[Time]]&lt;0.5, AllDataApr[[#This Row],[Time]]&gt;0.17)=TRUE, "Morning", IF(AND(AllDataApr[[#This Row],[Time]]&lt;0.75, AllDataApr[[#This Row],[Time]]&gt;=0.5)=TRUE, "Afternoon", IF(AND(AllDataApr[[#This Row],[Time]]&lt;1, AllDataApr[[#This Row],[Time]]&gt;=0.75)=TRUE, "Evening", "Night")))</f>
        <v>Morning</v>
      </c>
      <c r="G548" t="s">
        <v>38</v>
      </c>
      <c r="H548" t="str">
        <f>_xlfn.XLOOKUP(AllDataApr[[#This Row],[Location Name]], Locations[Row Labels],Locations[Group As])</f>
        <v>Avonbank Drive</v>
      </c>
      <c r="I548" t="str">
        <f>_xlfn.XLOOKUP(AllDataApr[[#This Row],[Site Name]],LocationsKey[Site Name],LocationsKey[Region])</f>
        <v>Stratford</v>
      </c>
      <c r="J548" t="str">
        <f>_xlfn.XLOOKUP(AllDataApr[[#This Row],[Site Name]],LocationsKey[Site Name], LocationsKey[Waterway])</f>
        <v>Avon</v>
      </c>
      <c r="K548" t="s">
        <v>41</v>
      </c>
      <c r="L548">
        <v>52.177044000000002</v>
      </c>
      <c r="M548">
        <v>-1.7356940000000001</v>
      </c>
      <c r="N548" t="s">
        <v>42</v>
      </c>
      <c r="O548">
        <v>594</v>
      </c>
      <c r="P548">
        <v>10.1</v>
      </c>
      <c r="Q548">
        <v>3</v>
      </c>
      <c r="R548" s="7" t="str">
        <f>IF(AllDataApr[[#This Row],[Nitrate (PPM)]]&gt;2, "Very high", IF(AllDataApr[[#This Row],[Nitrate (PPM)]]&gt;1, "High", IF(AllDataApr[[#This Row],[Nitrate (PPM)]]&gt;0.5, "Some evidence", IF(AllDataApr[[#This Row],[Nitrate (PPM)]]&gt;0, "No evidence", IF(AllDataApr[[#This Row],[Nitrate (PPM)]]=0, "")))))</f>
        <v>Very high</v>
      </c>
      <c r="S548">
        <v>0.31</v>
      </c>
      <c r="T548" s="7" t="str">
        <f>IF(AllDataApr[[#This Row],[Phosphate (PPM)]]&gt;0.5, "Very high", IF(AllDataApr[[#This Row],[Phosphate (PPM)]]&gt;0.1, "High", IF(AllDataApr[[#This Row],[Phosphate (PPM)]]&gt;0.05, "Some evidence", IF(AllDataApr[[#This Row],[Phosphate (PPM)]]=0, ""))))</f>
        <v>High</v>
      </c>
      <c r="U548">
        <v>0.84</v>
      </c>
    </row>
    <row r="549" spans="1:22" x14ac:dyDescent="0.3">
      <c r="A549" s="11" t="s">
        <v>368</v>
      </c>
      <c r="B549" s="2">
        <v>45382</v>
      </c>
      <c r="C549" s="2" t="str" cm="1">
        <f t="array" ref="C54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49">
        <f>YEAR(AllDataApr[[#This Row],[Date]])</f>
        <v>2024</v>
      </c>
      <c r="E549" s="1">
        <v>0.52083333333333337</v>
      </c>
      <c r="F549" s="2" t="str">
        <f>IF(AND(AllDataApr[[#This Row],[Time]]&lt;0.5, AllDataApr[[#This Row],[Time]]&gt;0.17)=TRUE, "Morning", IF(AND(AllDataApr[[#This Row],[Time]]&lt;0.75, AllDataApr[[#This Row],[Time]]&gt;=0.5)=TRUE, "Afternoon", IF(AND(AllDataApr[[#This Row],[Time]]&lt;1, AllDataApr[[#This Row],[Time]]&gt;=0.75)=TRUE, "Evening", "Night")))</f>
        <v>Afternoon</v>
      </c>
      <c r="G549" t="s">
        <v>52</v>
      </c>
      <c r="H549" t="str">
        <f>_xlfn.XLOOKUP(AllDataApr[[#This Row],[Location Name]], Locations[Row Labels],Locations[Group As])</f>
        <v>Carrant Bredon Rd</v>
      </c>
      <c r="I549" t="str">
        <f>_xlfn.XLOOKUP(AllDataApr[[#This Row],[Site Name]],LocationsKey[Site Name],LocationsKey[Region])</f>
        <v>Tewkesbury</v>
      </c>
      <c r="J549" t="str">
        <f>_xlfn.XLOOKUP(AllDataApr[[#This Row],[Site Name]],LocationsKey[Site Name], LocationsKey[Waterway])</f>
        <v>Carrant</v>
      </c>
      <c r="K549" t="s">
        <v>179</v>
      </c>
      <c r="L549">
        <v>51.996478000000003</v>
      </c>
      <c r="M549">
        <v>-2.155986</v>
      </c>
      <c r="N549" t="s">
        <v>200</v>
      </c>
      <c r="O549">
        <v>539</v>
      </c>
      <c r="P549">
        <v>10.6</v>
      </c>
      <c r="Q549">
        <v>4</v>
      </c>
      <c r="R549" s="7" t="str">
        <f>IF(AllDataApr[[#This Row],[Nitrate (PPM)]]&gt;2, "Very high", IF(AllDataApr[[#This Row],[Nitrate (PPM)]]&gt;1, "High", IF(AllDataApr[[#This Row],[Nitrate (PPM)]]&gt;0.5, "Some evidence", IF(AllDataApr[[#This Row],[Nitrate (PPM)]]&gt;0, "No evidence", IF(AllDataApr[[#This Row],[Nitrate (PPM)]]=0, "")))))</f>
        <v>Very high</v>
      </c>
      <c r="S549">
        <v>0.45</v>
      </c>
      <c r="T549" s="7" t="str">
        <f>IF(AllDataApr[[#This Row],[Phosphate (PPM)]]&gt;0.5, "Very high", IF(AllDataApr[[#This Row],[Phosphate (PPM)]]&gt;0.1, "High", IF(AllDataApr[[#This Row],[Phosphate (PPM)]]&gt;0.05, "Some evidence", IF(AllDataApr[[#This Row],[Phosphate (PPM)]]=0, ""))))</f>
        <v>High</v>
      </c>
      <c r="U549">
        <v>1.7</v>
      </c>
      <c r="V549" t="s">
        <v>962</v>
      </c>
    </row>
    <row r="550" spans="1:22" x14ac:dyDescent="0.3">
      <c r="A550" t="s">
        <v>367</v>
      </c>
      <c r="B550" s="2">
        <v>45382</v>
      </c>
      <c r="C550" s="2" t="str" cm="1">
        <f t="array" ref="C55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50">
        <f>YEAR(AllDataApr[[#This Row],[Date]])</f>
        <v>2024</v>
      </c>
      <c r="E550" s="1">
        <v>0.53125</v>
      </c>
      <c r="F550" s="2" t="str">
        <f>IF(AND(AllDataApr[[#This Row],[Time]]&lt;0.5, AllDataApr[[#This Row],[Time]]&gt;0.17)=TRUE, "Morning", IF(AND(AllDataApr[[#This Row],[Time]]&lt;0.75, AllDataApr[[#This Row],[Time]]&gt;=0.5)=TRUE, "Afternoon", IF(AND(AllDataApr[[#This Row],[Time]]&lt;1, AllDataApr[[#This Row],[Time]]&gt;=0.75)=TRUE, "Evening", "Night")))</f>
        <v>Afternoon</v>
      </c>
      <c r="G550" t="s">
        <v>52</v>
      </c>
      <c r="H550" t="str">
        <f>_xlfn.XLOOKUP(AllDataApr[[#This Row],[Location Name]], Locations[Row Labels],Locations[Group As])</f>
        <v>Black Bear</v>
      </c>
      <c r="I550" t="str">
        <f>_xlfn.XLOOKUP(AllDataApr[[#This Row],[Site Name]],LocationsKey[Site Name],LocationsKey[Region])</f>
        <v>Tewkesbury</v>
      </c>
      <c r="J550" t="str">
        <f>_xlfn.XLOOKUP(AllDataApr[[#This Row],[Site Name]],LocationsKey[Site Name], LocationsKey[Waterway])</f>
        <v>Avon</v>
      </c>
      <c r="K550" t="s">
        <v>231</v>
      </c>
      <c r="N550" t="s">
        <v>200</v>
      </c>
      <c r="O550">
        <v>571</v>
      </c>
      <c r="P550">
        <v>10.4</v>
      </c>
      <c r="Q550">
        <v>4</v>
      </c>
      <c r="R550" s="7" t="str">
        <f>IF(AllDataApr[[#This Row],[Nitrate (PPM)]]&gt;2, "Very high", IF(AllDataApr[[#This Row],[Nitrate (PPM)]]&gt;1, "High", IF(AllDataApr[[#This Row],[Nitrate (PPM)]]&gt;0.5, "Some evidence", IF(AllDataApr[[#This Row],[Nitrate (PPM)]]&gt;0, "No evidence", IF(AllDataApr[[#This Row],[Nitrate (PPM)]]=0, "")))))</f>
        <v>Very high</v>
      </c>
      <c r="S550">
        <v>0.36</v>
      </c>
      <c r="T550" s="7" t="str">
        <f>IF(AllDataApr[[#This Row],[Phosphate (PPM)]]&gt;0.5, "Very high", IF(AllDataApr[[#This Row],[Phosphate (PPM)]]&gt;0.1, "High", IF(AllDataApr[[#This Row],[Phosphate (PPM)]]&gt;0.05, "Some evidence", IF(AllDataApr[[#This Row],[Phosphate (PPM)]]=0, ""))))</f>
        <v>High</v>
      </c>
      <c r="U550">
        <v>0</v>
      </c>
      <c r="V550" t="s">
        <v>961</v>
      </c>
    </row>
    <row r="551" spans="1:22" x14ac:dyDescent="0.3">
      <c r="A551" t="s">
        <v>369</v>
      </c>
      <c r="B551" s="2">
        <v>45382</v>
      </c>
      <c r="C551" s="2" t="str" cm="1">
        <f t="array" ref="C55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51">
        <f>YEAR(AllDataApr[[#This Row],[Date]])</f>
        <v>2024</v>
      </c>
      <c r="E551" s="1">
        <v>0.5625</v>
      </c>
      <c r="F551" s="2" t="str">
        <f>IF(AND(AllDataApr[[#This Row],[Time]]&lt;0.5, AllDataApr[[#This Row],[Time]]&gt;0.17)=TRUE, "Morning", IF(AND(AllDataApr[[#This Row],[Time]]&lt;0.75, AllDataApr[[#This Row],[Time]]&gt;=0.5)=TRUE, "Afternoon", IF(AND(AllDataApr[[#This Row],[Time]]&lt;1, AllDataApr[[#This Row],[Time]]&gt;=0.75)=TRUE, "Evening", "Night")))</f>
        <v>Afternoon</v>
      </c>
      <c r="G551" t="s">
        <v>112</v>
      </c>
      <c r="H551" t="str">
        <f>_xlfn.XLOOKUP(AllDataApr[[#This Row],[Location Name]], Locations[Row Labels],Locations[Group As])</f>
        <v>Clifford Chambers Mill Bridge</v>
      </c>
      <c r="I551" t="str">
        <f>_xlfn.XLOOKUP(AllDataApr[[#This Row],[Site Name]],LocationsKey[Site Name],LocationsKey[Region])</f>
        <v>Stratford</v>
      </c>
      <c r="J551" t="str">
        <f>_xlfn.XLOOKUP(AllDataApr[[#This Row],[Site Name]],LocationsKey[Site Name], LocationsKey[Waterway])</f>
        <v>Stour</v>
      </c>
      <c r="K551" t="s">
        <v>119</v>
      </c>
      <c r="L551">
        <v>52.166370000000001</v>
      </c>
      <c r="M551">
        <v>-1.708032</v>
      </c>
      <c r="N551" t="s">
        <v>1047</v>
      </c>
      <c r="O551">
        <v>610</v>
      </c>
      <c r="P551">
        <v>10.1</v>
      </c>
      <c r="Q551">
        <v>10</v>
      </c>
      <c r="R551" s="7" t="str">
        <f>IF(AllDataApr[[#This Row],[Nitrate (PPM)]]&gt;2, "Very high", IF(AllDataApr[[#This Row],[Nitrate (PPM)]]&gt;1, "High", IF(AllDataApr[[#This Row],[Nitrate (PPM)]]&gt;0.5, "Some evidence", IF(AllDataApr[[#This Row],[Nitrate (PPM)]]&gt;0, "No evidence", IF(AllDataApr[[#This Row],[Nitrate (PPM)]]=0, "")))))</f>
        <v>Very high</v>
      </c>
      <c r="S551">
        <v>0.28000000000000003</v>
      </c>
      <c r="T551" s="7" t="str">
        <f>IF(AllDataApr[[#This Row],[Phosphate (PPM)]]&gt;0.5, "Very high", IF(AllDataApr[[#This Row],[Phosphate (PPM)]]&gt;0.1, "High", IF(AllDataApr[[#This Row],[Phosphate (PPM)]]&gt;0.05, "Some evidence", IF(AllDataApr[[#This Row],[Phosphate (PPM)]]=0, ""))))</f>
        <v>High</v>
      </c>
      <c r="U551">
        <v>1.25</v>
      </c>
    </row>
    <row r="552" spans="1:22" x14ac:dyDescent="0.3">
      <c r="A552" t="s">
        <v>363</v>
      </c>
      <c r="B552" s="2">
        <v>45384</v>
      </c>
      <c r="C552" s="2" t="str" cm="1">
        <f t="array" ref="C55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52">
        <f>YEAR(AllDataApr[[#This Row],[Date]])</f>
        <v>2024</v>
      </c>
      <c r="E552" s="1">
        <v>0.40277777777777779</v>
      </c>
      <c r="F552" s="2" t="str">
        <f>IF(AND(AllDataApr[[#This Row],[Time]]&lt;0.5, AllDataApr[[#This Row],[Time]]&gt;0.17)=TRUE, "Morning", IF(AND(AllDataApr[[#This Row],[Time]]&lt;0.75, AllDataApr[[#This Row],[Time]]&gt;=0.5)=TRUE, "Afternoon", IF(AND(AllDataApr[[#This Row],[Time]]&lt;1, AllDataApr[[#This Row],[Time]]&gt;=0.75)=TRUE, "Evening", "Night")))</f>
        <v>Morning</v>
      </c>
      <c r="G552" t="s">
        <v>150</v>
      </c>
      <c r="H552" t="str">
        <f>_xlfn.XLOOKUP(AllDataApr[[#This Row],[Location Name]], Locations[Row Labels],Locations[Group As])</f>
        <v>Stour Stretton-on-Fosse Village</v>
      </c>
      <c r="I552" t="str">
        <f>_xlfn.XLOOKUP(AllDataApr[[#This Row],[Site Name]],LocationsKey[Site Name],LocationsKey[Region])</f>
        <v>Shipston</v>
      </c>
      <c r="J552" t="str">
        <f>_xlfn.XLOOKUP(AllDataApr[[#This Row],[Site Name]],LocationsKey[Site Name], LocationsKey[Waterway])</f>
        <v>Stour</v>
      </c>
      <c r="K552" t="s">
        <v>198</v>
      </c>
      <c r="L552">
        <v>52.046517000000001</v>
      </c>
      <c r="M552">
        <v>-1.6733910000000001</v>
      </c>
      <c r="N552" t="s">
        <v>42</v>
      </c>
      <c r="O552">
        <v>418</v>
      </c>
      <c r="P552">
        <v>9.6</v>
      </c>
      <c r="Q552">
        <v>0.5</v>
      </c>
      <c r="R552" s="7" t="str">
        <f>IF(AllDataApr[[#This Row],[Nitrate (PPM)]]&gt;2, "Very high", IF(AllDataApr[[#This Row],[Nitrate (PPM)]]&gt;1, "High", IF(AllDataApr[[#This Row],[Nitrate (PPM)]]&gt;0.5, "Some evidence", IF(AllDataApr[[#This Row],[Nitrate (PPM)]]&gt;0, "No evidence", IF(AllDataApr[[#This Row],[Nitrate (PPM)]]=0, "")))))</f>
        <v>No evidence</v>
      </c>
      <c r="S552">
        <v>0.42</v>
      </c>
      <c r="T552" s="7" t="str">
        <f>IF(AllDataApr[[#This Row],[Phosphate (PPM)]]&gt;0.5, "Very high", IF(AllDataApr[[#This Row],[Phosphate (PPM)]]&gt;0.1, "High", IF(AllDataApr[[#This Row],[Phosphate (PPM)]]&gt;0.05, "Some evidence", IF(AllDataApr[[#This Row],[Phosphate (PPM)]]=0, ""))))</f>
        <v>High</v>
      </c>
      <c r="U552">
        <v>0.3</v>
      </c>
    </row>
    <row r="553" spans="1:22" x14ac:dyDescent="0.3">
      <c r="A553" t="s">
        <v>362</v>
      </c>
      <c r="B553" s="2">
        <v>45384</v>
      </c>
      <c r="C553" s="2" t="str" cm="1">
        <f t="array" ref="C55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53">
        <f>YEAR(AllDataApr[[#This Row],[Date]])</f>
        <v>2024</v>
      </c>
      <c r="E553" s="1">
        <v>0.41597222222222224</v>
      </c>
      <c r="F553" s="2" t="str">
        <f>IF(AND(AllDataApr[[#This Row],[Time]]&lt;0.5, AllDataApr[[#This Row],[Time]]&gt;0.17)=TRUE, "Morning", IF(AND(AllDataApr[[#This Row],[Time]]&lt;0.75, AllDataApr[[#This Row],[Time]]&gt;=0.5)=TRUE, "Afternoon", IF(AND(AllDataApr[[#This Row],[Time]]&lt;1, AllDataApr[[#This Row],[Time]]&gt;=0.75)=TRUE, "Evening", "Night")))</f>
        <v>Morning</v>
      </c>
      <c r="G553" t="s">
        <v>150</v>
      </c>
      <c r="H553" t="str">
        <f>_xlfn.XLOOKUP(AllDataApr[[#This Row],[Location Name]], Locations[Row Labels],Locations[Group As])</f>
        <v>Stour Stretton-on-Fosse Sewage Works</v>
      </c>
      <c r="I553" t="str">
        <f>_xlfn.XLOOKUP(AllDataApr[[#This Row],[Site Name]],LocationsKey[Site Name],LocationsKey[Region])</f>
        <v>Shipston</v>
      </c>
      <c r="J553" t="str">
        <f>_xlfn.XLOOKUP(AllDataApr[[#This Row],[Site Name]],LocationsKey[Site Name], LocationsKey[Waterway])</f>
        <v>Stour</v>
      </c>
      <c r="K553" t="s">
        <v>151</v>
      </c>
      <c r="L553">
        <v>52.045686000000003</v>
      </c>
      <c r="M553">
        <v>-1.6719360000000001</v>
      </c>
      <c r="N553" t="s">
        <v>18</v>
      </c>
      <c r="O553">
        <v>452</v>
      </c>
      <c r="P553">
        <v>9.6999999999999993</v>
      </c>
      <c r="Q553">
        <v>0.5</v>
      </c>
      <c r="R553" s="7" t="str">
        <f>IF(AllDataApr[[#This Row],[Nitrate (PPM)]]&gt;2, "Very high", IF(AllDataApr[[#This Row],[Nitrate (PPM)]]&gt;1, "High", IF(AllDataApr[[#This Row],[Nitrate (PPM)]]&gt;0.5, "Some evidence", IF(AllDataApr[[#This Row],[Nitrate (PPM)]]&gt;0, "No evidence", IF(AllDataApr[[#This Row],[Nitrate (PPM)]]=0, "")))))</f>
        <v>No evidence</v>
      </c>
      <c r="S553">
        <v>0.7</v>
      </c>
      <c r="T553" s="7" t="str">
        <f>IF(AllDataApr[[#This Row],[Phosphate (PPM)]]&gt;0.5, "Very high", IF(AllDataApr[[#This Row],[Phosphate (PPM)]]&gt;0.1, "High", IF(AllDataApr[[#This Row],[Phosphate (PPM)]]&gt;0.05, "Some evidence", IF(AllDataApr[[#This Row],[Phosphate (PPM)]]=0, ""))))</f>
        <v>Very high</v>
      </c>
      <c r="U553">
        <v>0.35</v>
      </c>
    </row>
    <row r="554" spans="1:22" x14ac:dyDescent="0.3">
      <c r="A554" t="s">
        <v>351</v>
      </c>
      <c r="B554" s="2">
        <v>45385</v>
      </c>
      <c r="C554" s="2" t="str" cm="1">
        <f t="array" ref="C55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54">
        <f>YEAR(AllDataApr[[#This Row],[Date]])</f>
        <v>2024</v>
      </c>
      <c r="E554" s="1">
        <v>0.625</v>
      </c>
      <c r="F554" s="2" t="str">
        <f>IF(AND(AllDataApr[[#This Row],[Time]]&lt;0.5, AllDataApr[[#This Row],[Time]]&gt;0.17)=TRUE, "Morning", IF(AND(AllDataApr[[#This Row],[Time]]&lt;0.75, AllDataApr[[#This Row],[Time]]&gt;=0.5)=TRUE, "Afternoon", IF(AND(AllDataApr[[#This Row],[Time]]&lt;1, AllDataApr[[#This Row],[Time]]&gt;=0.75)=TRUE, "Evening", "Night")))</f>
        <v>Afternoon</v>
      </c>
      <c r="G554" t="s">
        <v>276</v>
      </c>
      <c r="H554" t="str">
        <f>_xlfn.XLOOKUP(AllDataApr[[#This Row],[Location Name]], Locations[Row Labels],Locations[Group As])</f>
        <v>Sherbourne Brook 1</v>
      </c>
      <c r="I554" t="str">
        <f>_xlfn.XLOOKUP(AllDataApr[[#This Row],[Site Name]],LocationsKey[Site Name],LocationsKey[Region])</f>
        <v>Stratford</v>
      </c>
      <c r="J554" t="str">
        <f>_xlfn.XLOOKUP(AllDataApr[[#This Row],[Site Name]],LocationsKey[Site Name], LocationsKey[Waterway])</f>
        <v>Sherbourne Brook</v>
      </c>
      <c r="K554" t="s">
        <v>280</v>
      </c>
      <c r="N554" t="s">
        <v>200</v>
      </c>
      <c r="O554">
        <v>685</v>
      </c>
      <c r="P554">
        <v>11.4</v>
      </c>
      <c r="Q554">
        <v>5</v>
      </c>
      <c r="R554" s="7" t="str">
        <f>IF(AllDataApr[[#This Row],[Nitrate (PPM)]]&gt;2, "Very high", IF(AllDataApr[[#This Row],[Nitrate (PPM)]]&gt;1, "High", IF(AllDataApr[[#This Row],[Nitrate (PPM)]]&gt;0.5, "Some evidence", IF(AllDataApr[[#This Row],[Nitrate (PPM)]]&gt;0, "No evidence", IF(AllDataApr[[#This Row],[Nitrate (PPM)]]=0, "")))))</f>
        <v>Very high</v>
      </c>
      <c r="S554">
        <v>0.8</v>
      </c>
      <c r="T554" s="7" t="str">
        <f>IF(AllDataApr[[#This Row],[Phosphate (PPM)]]&gt;0.5, "Very high", IF(AllDataApr[[#This Row],[Phosphate (PPM)]]&gt;0.1, "High", IF(AllDataApr[[#This Row],[Phosphate (PPM)]]&gt;0.05, "Some evidence", IF(AllDataApr[[#This Row],[Phosphate (PPM)]]=0, ""))))</f>
        <v>Very high</v>
      </c>
      <c r="U554">
        <v>0.5</v>
      </c>
      <c r="V554" t="s">
        <v>958</v>
      </c>
    </row>
    <row r="555" spans="1:22" x14ac:dyDescent="0.3">
      <c r="A555" t="s">
        <v>350</v>
      </c>
      <c r="B555" s="2">
        <v>45385</v>
      </c>
      <c r="C555" s="2" t="str" cm="1">
        <f t="array" ref="C55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55">
        <f>YEAR(AllDataApr[[#This Row],[Date]])</f>
        <v>2024</v>
      </c>
      <c r="E555" s="1">
        <v>0.63888888888888884</v>
      </c>
      <c r="F555" s="2" t="str">
        <f>IF(AND(AllDataApr[[#This Row],[Time]]&lt;0.5, AllDataApr[[#This Row],[Time]]&gt;0.17)=TRUE, "Morning", IF(AND(AllDataApr[[#This Row],[Time]]&lt;0.75, AllDataApr[[#This Row],[Time]]&gt;=0.5)=TRUE, "Afternoon", IF(AND(AllDataApr[[#This Row],[Time]]&lt;1, AllDataApr[[#This Row],[Time]]&gt;=0.75)=TRUE, "Evening", "Night")))</f>
        <v>Afternoon</v>
      </c>
      <c r="G555" t="s">
        <v>276</v>
      </c>
      <c r="H555" t="str">
        <f>_xlfn.XLOOKUP(AllDataApr[[#This Row],[Location Name]], Locations[Row Labels],Locations[Group As])</f>
        <v>Bell Brook 1</v>
      </c>
      <c r="I555" t="str">
        <f>_xlfn.XLOOKUP(AllDataApr[[#This Row],[Site Name]],LocationsKey[Site Name],LocationsKey[Region])</f>
        <v>Stratford</v>
      </c>
      <c r="J555" t="str">
        <f>_xlfn.XLOOKUP(AllDataApr[[#This Row],[Site Name]],LocationsKey[Site Name], LocationsKey[Waterway])</f>
        <v>Bell Brook</v>
      </c>
      <c r="K555" t="s">
        <v>279</v>
      </c>
      <c r="N555" t="s">
        <v>200</v>
      </c>
      <c r="O555">
        <v>531</v>
      </c>
      <c r="P555">
        <v>10.7</v>
      </c>
      <c r="Q555">
        <v>3</v>
      </c>
      <c r="R555" s="7" t="str">
        <f>IF(AllDataApr[[#This Row],[Nitrate (PPM)]]&gt;2, "Very high", IF(AllDataApr[[#This Row],[Nitrate (PPM)]]&gt;1, "High", IF(AllDataApr[[#This Row],[Nitrate (PPM)]]&gt;0.5, "Some evidence", IF(AllDataApr[[#This Row],[Nitrate (PPM)]]&gt;0, "No evidence", IF(AllDataApr[[#This Row],[Nitrate (PPM)]]=0, "")))))</f>
        <v>Very high</v>
      </c>
      <c r="S555">
        <v>0.28999999999999998</v>
      </c>
      <c r="T555" s="7" t="str">
        <f>IF(AllDataApr[[#This Row],[Phosphate (PPM)]]&gt;0.5, "Very high", IF(AllDataApr[[#This Row],[Phosphate (PPM)]]&gt;0.1, "High", IF(AllDataApr[[#This Row],[Phosphate (PPM)]]&gt;0.05, "Some evidence", IF(AllDataApr[[#This Row],[Phosphate (PPM)]]=0, ""))))</f>
        <v>High</v>
      </c>
      <c r="U555">
        <v>0.3</v>
      </c>
      <c r="V555" t="s">
        <v>283</v>
      </c>
    </row>
    <row r="556" spans="1:22" x14ac:dyDescent="0.3">
      <c r="A556" t="s">
        <v>330</v>
      </c>
      <c r="B556" s="2">
        <v>45386</v>
      </c>
      <c r="C556" s="2" t="str" cm="1">
        <f t="array" ref="C55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56">
        <f>YEAR(AllDataApr[[#This Row],[Date]])</f>
        <v>2024</v>
      </c>
      <c r="E556" s="1">
        <v>0.41666666666666669</v>
      </c>
      <c r="F556" s="2" t="str">
        <f>IF(AND(AllDataApr[[#This Row],[Time]]&lt;0.5, AllDataApr[[#This Row],[Time]]&gt;0.17)=TRUE, "Morning", IF(AND(AllDataApr[[#This Row],[Time]]&lt;0.75, AllDataApr[[#This Row],[Time]]&gt;=0.5)=TRUE, "Afternoon", IF(AND(AllDataApr[[#This Row],[Time]]&lt;1, AllDataApr[[#This Row],[Time]]&gt;=0.75)=TRUE, "Evening", "Night")))</f>
        <v>Morning</v>
      </c>
      <c r="G556" t="s">
        <v>46</v>
      </c>
      <c r="H556" t="str">
        <f>_xlfn.XLOOKUP(AllDataApr[[#This Row],[Location Name]], Locations[Row Labels],Locations[Group As])</f>
        <v>Swilgate</v>
      </c>
      <c r="I556" t="str">
        <f>_xlfn.XLOOKUP(AllDataApr[[#This Row],[Site Name]],LocationsKey[Site Name],LocationsKey[Region])</f>
        <v>Tewkesbury</v>
      </c>
      <c r="J556" t="str">
        <f>_xlfn.XLOOKUP(AllDataApr[[#This Row],[Site Name]],LocationsKey[Site Name], LocationsKey[Waterway])</f>
        <v>Swilgate</v>
      </c>
      <c r="K556" t="s">
        <v>47</v>
      </c>
      <c r="N556" t="s">
        <v>200</v>
      </c>
      <c r="O556">
        <v>416</v>
      </c>
      <c r="P556">
        <v>11.1</v>
      </c>
      <c r="Q556">
        <v>2</v>
      </c>
      <c r="R556" s="7" t="str">
        <f>IF(AllDataApr[[#This Row],[Nitrate (PPM)]]&gt;2, "Very high", IF(AllDataApr[[#This Row],[Nitrate (PPM)]]&gt;1, "High", IF(AllDataApr[[#This Row],[Nitrate (PPM)]]&gt;0.5, "Some evidence", IF(AllDataApr[[#This Row],[Nitrate (PPM)]]&gt;0, "No evidence", IF(AllDataApr[[#This Row],[Nitrate (PPM)]]=0, "")))))</f>
        <v>High</v>
      </c>
      <c r="S556">
        <v>0.2</v>
      </c>
      <c r="T556" s="7" t="str">
        <f>IF(AllDataApr[[#This Row],[Phosphate (PPM)]]&gt;0.5, "Very high", IF(AllDataApr[[#This Row],[Phosphate (PPM)]]&gt;0.1, "High", IF(AllDataApr[[#This Row],[Phosphate (PPM)]]&gt;0.05, "Some evidence", IF(AllDataApr[[#This Row],[Phosphate (PPM)]]=0, ""))))</f>
        <v>High</v>
      </c>
      <c r="U556">
        <v>1</v>
      </c>
    </row>
    <row r="557" spans="1:22" x14ac:dyDescent="0.3">
      <c r="A557" t="s">
        <v>349</v>
      </c>
      <c r="B557" s="2">
        <v>45386</v>
      </c>
      <c r="C557" s="2" t="str" cm="1">
        <f t="array" ref="C55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57">
        <f>YEAR(AllDataApr[[#This Row],[Date]])</f>
        <v>2024</v>
      </c>
      <c r="E557" s="1">
        <v>0.46875</v>
      </c>
      <c r="F557" s="2" t="str">
        <f>IF(AND(AllDataApr[[#This Row],[Time]]&lt;0.5, AllDataApr[[#This Row],[Time]]&gt;0.17)=TRUE, "Morning", IF(AND(AllDataApr[[#This Row],[Time]]&lt;0.75, AllDataApr[[#This Row],[Time]]&gt;=0.5)=TRUE, "Afternoon", IF(AND(AllDataApr[[#This Row],[Time]]&lt;1, AllDataApr[[#This Row],[Time]]&gt;=0.75)=TRUE, "Evening", "Night")))</f>
        <v>Morning</v>
      </c>
      <c r="G557" t="s">
        <v>156</v>
      </c>
      <c r="H557" t="str">
        <f>_xlfn.XLOOKUP(AllDataApr[[#This Row],[Location Name]], Locations[Row Labels],Locations[Group As])</f>
        <v>Alveston Weir</v>
      </c>
      <c r="I557" t="str">
        <f>_xlfn.XLOOKUP(AllDataApr[[#This Row],[Site Name]],LocationsKey[Site Name],LocationsKey[Region])</f>
        <v>Stratford</v>
      </c>
      <c r="J557" t="str">
        <f>_xlfn.XLOOKUP(AllDataApr[[#This Row],[Site Name]],LocationsKey[Site Name], LocationsKey[Waterway])</f>
        <v>Avon</v>
      </c>
      <c r="K557" t="s">
        <v>128</v>
      </c>
      <c r="L557">
        <v>52.212288999999998</v>
      </c>
      <c r="M557">
        <v>-1.660452</v>
      </c>
      <c r="N557" t="s">
        <v>18</v>
      </c>
      <c r="O557">
        <v>493</v>
      </c>
      <c r="P557">
        <v>14.4</v>
      </c>
      <c r="Q557">
        <v>5</v>
      </c>
      <c r="R557" s="7" t="str">
        <f>IF(AllDataApr[[#This Row],[Nitrate (PPM)]]&gt;2, "Very high", IF(AllDataApr[[#This Row],[Nitrate (PPM)]]&gt;1, "High", IF(AllDataApr[[#This Row],[Nitrate (PPM)]]&gt;0.5, "Some evidence", IF(AllDataApr[[#This Row],[Nitrate (PPM)]]&gt;0, "No evidence", IF(AllDataApr[[#This Row],[Nitrate (PPM)]]=0, "")))))</f>
        <v>Very high</v>
      </c>
      <c r="S557">
        <v>0.35</v>
      </c>
      <c r="T557" s="7" t="str">
        <f>IF(AllDataApr[[#This Row],[Phosphate (PPM)]]&gt;0.5, "Very high", IF(AllDataApr[[#This Row],[Phosphate (PPM)]]&gt;0.1, "High", IF(AllDataApr[[#This Row],[Phosphate (PPM)]]&gt;0.05, "Some evidence", IF(AllDataApr[[#This Row],[Phosphate (PPM)]]=0, ""))))</f>
        <v>High</v>
      </c>
      <c r="U557">
        <v>1.5</v>
      </c>
      <c r="V557" t="s">
        <v>957</v>
      </c>
    </row>
    <row r="558" spans="1:22" x14ac:dyDescent="0.3">
      <c r="A558" t="s">
        <v>348</v>
      </c>
      <c r="B558" s="2">
        <v>45386</v>
      </c>
      <c r="C558" s="2" t="str" cm="1">
        <f t="array" ref="C55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58">
        <f>YEAR(AllDataApr[[#This Row],[Date]])</f>
        <v>2024</v>
      </c>
      <c r="E558" s="1">
        <v>0.47222222222222221</v>
      </c>
      <c r="F558" s="2" t="str">
        <f>IF(AND(AllDataApr[[#This Row],[Time]]&lt;0.5, AllDataApr[[#This Row],[Time]]&gt;0.17)=TRUE, "Morning", IF(AND(AllDataApr[[#This Row],[Time]]&lt;0.75, AllDataApr[[#This Row],[Time]]&gt;=0.5)=TRUE, "Afternoon", IF(AND(AllDataApr[[#This Row],[Time]]&lt;1, AllDataApr[[#This Row],[Time]]&gt;=0.75)=TRUE, "Evening", "Night")))</f>
        <v>Morning</v>
      </c>
      <c r="G558" t="s">
        <v>139</v>
      </c>
      <c r="H558" t="str">
        <f>_xlfn.XLOOKUP(AllDataApr[[#This Row],[Location Name]], Locations[Row Labels],Locations[Group As])</f>
        <v>Swiffen Bank</v>
      </c>
      <c r="I558" t="str">
        <f>_xlfn.XLOOKUP(AllDataApr[[#This Row],[Site Name]],LocationsKey[Site Name],LocationsKey[Region])</f>
        <v>Stratford</v>
      </c>
      <c r="J558" t="str">
        <f>_xlfn.XLOOKUP(AllDataApr[[#This Row],[Site Name]],LocationsKey[Site Name], LocationsKey[Waterway])</f>
        <v>Avon</v>
      </c>
      <c r="K558" t="s">
        <v>130</v>
      </c>
      <c r="L558">
        <v>52.206477999999997</v>
      </c>
      <c r="M558">
        <v>-1.653894</v>
      </c>
      <c r="N558" t="s">
        <v>18</v>
      </c>
      <c r="O558">
        <v>519</v>
      </c>
      <c r="P558">
        <v>13.8</v>
      </c>
      <c r="Q558">
        <v>5</v>
      </c>
      <c r="R558" s="7" t="str">
        <f>IF(AllDataApr[[#This Row],[Nitrate (PPM)]]&gt;2, "Very high", IF(AllDataApr[[#This Row],[Nitrate (PPM)]]&gt;1, "High", IF(AllDataApr[[#This Row],[Nitrate (PPM)]]&gt;0.5, "Some evidence", IF(AllDataApr[[#This Row],[Nitrate (PPM)]]&gt;0, "No evidence", IF(AllDataApr[[#This Row],[Nitrate (PPM)]]=0, "")))))</f>
        <v>Very high</v>
      </c>
      <c r="S558">
        <v>0.51</v>
      </c>
      <c r="T558" s="7" t="str">
        <f>IF(AllDataApr[[#This Row],[Phosphate (PPM)]]&gt;0.5, "Very high", IF(AllDataApr[[#This Row],[Phosphate (PPM)]]&gt;0.1, "High", IF(AllDataApr[[#This Row],[Phosphate (PPM)]]&gt;0.05, "Some evidence", IF(AllDataApr[[#This Row],[Phosphate (PPM)]]=0, ""))))</f>
        <v>Very high</v>
      </c>
      <c r="U558">
        <v>2</v>
      </c>
      <c r="V558" t="s">
        <v>956</v>
      </c>
    </row>
    <row r="559" spans="1:22" x14ac:dyDescent="0.3">
      <c r="A559" t="s">
        <v>343</v>
      </c>
      <c r="B559" s="2">
        <v>45386</v>
      </c>
      <c r="C559" s="2" t="str" cm="1">
        <f t="array" ref="C55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59">
        <f>YEAR(AllDataApr[[#This Row],[Date]])</f>
        <v>2024</v>
      </c>
      <c r="E559" s="1">
        <v>0.47916666666666669</v>
      </c>
      <c r="F559" s="2" t="str">
        <f>IF(AND(AllDataApr[[#This Row],[Time]]&lt;0.5, AllDataApr[[#This Row],[Time]]&gt;0.17)=TRUE, "Morning", IF(AND(AllDataApr[[#This Row],[Time]]&lt;0.75, AllDataApr[[#This Row],[Time]]&gt;=0.5)=TRUE, "Afternoon", IF(AND(AllDataApr[[#This Row],[Time]]&lt;1, AllDataApr[[#This Row],[Time]]&gt;=0.75)=TRUE, "Evening", "Night")))</f>
        <v>Morning</v>
      </c>
      <c r="G559" t="s">
        <v>220</v>
      </c>
      <c r="H559" t="str">
        <f>_xlfn.XLOOKUP(AllDataApr[[#This Row],[Location Name]], Locations[Row Labels],Locations[Group As])</f>
        <v>Stour Willington</v>
      </c>
      <c r="I559" t="str">
        <f>_xlfn.XLOOKUP(AllDataApr[[#This Row],[Site Name]],LocationsKey[Site Name],LocationsKey[Region])</f>
        <v>Shipston</v>
      </c>
      <c r="J559" t="str">
        <f>_xlfn.XLOOKUP(AllDataApr[[#This Row],[Site Name]],LocationsKey[Site Name], LocationsKey[Waterway])</f>
        <v>Stour</v>
      </c>
      <c r="K559" t="s">
        <v>197</v>
      </c>
      <c r="L559">
        <v>52.053564999999999</v>
      </c>
      <c r="M559">
        <v>-1.620147</v>
      </c>
      <c r="O559">
        <v>325</v>
      </c>
      <c r="P559">
        <v>12.9</v>
      </c>
      <c r="Q559">
        <v>0.5</v>
      </c>
      <c r="R559" s="7" t="str">
        <f>IF(AllDataApr[[#This Row],[Nitrate (PPM)]]&gt;2, "Very high", IF(AllDataApr[[#This Row],[Nitrate (PPM)]]&gt;1, "High", IF(AllDataApr[[#This Row],[Nitrate (PPM)]]&gt;0.5, "Some evidence", IF(AllDataApr[[#This Row],[Nitrate (PPM)]]&gt;0, "No evidence", IF(AllDataApr[[#This Row],[Nitrate (PPM)]]=0, "")))))</f>
        <v>No evidence</v>
      </c>
      <c r="S559">
        <v>0.06</v>
      </c>
      <c r="T559" s="7" t="str">
        <f>IF(AllDataApr[[#This Row],[Phosphate (PPM)]]&gt;0.5, "Very high", IF(AllDataApr[[#This Row],[Phosphate (PPM)]]&gt;0.1, "High", IF(AllDataApr[[#This Row],[Phosphate (PPM)]]&gt;0.05, "Some evidence", IF(AllDataApr[[#This Row],[Phosphate (PPM)]]=0, ""))))</f>
        <v>Some evidence</v>
      </c>
      <c r="U559">
        <v>1.5</v>
      </c>
      <c r="V559" t="s">
        <v>953</v>
      </c>
    </row>
    <row r="560" spans="1:22" x14ac:dyDescent="0.3">
      <c r="A560" s="11" t="s">
        <v>347</v>
      </c>
      <c r="B560" s="2">
        <v>45387</v>
      </c>
      <c r="C560" s="2" t="str" cm="1">
        <f t="array" ref="C56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60">
        <f>YEAR(AllDataApr[[#This Row],[Date]])</f>
        <v>2024</v>
      </c>
      <c r="E560" s="1">
        <v>0.3923611111111111</v>
      </c>
      <c r="F560" s="2" t="str">
        <f>IF(AND(AllDataApr[[#This Row],[Time]]&lt;0.5, AllDataApr[[#This Row],[Time]]&gt;0.17)=TRUE, "Morning", IF(AND(AllDataApr[[#This Row],[Time]]&lt;0.75, AllDataApr[[#This Row],[Time]]&gt;=0.5)=TRUE, "Afternoon", IF(AND(AllDataApr[[#This Row],[Time]]&lt;1, AllDataApr[[#This Row],[Time]]&gt;=0.75)=TRUE, "Evening", "Night")))</f>
        <v>Morning</v>
      </c>
      <c r="G560" t="s">
        <v>277</v>
      </c>
      <c r="H560" t="str">
        <f>_xlfn.XLOOKUP(AllDataApr[[#This Row],[Location Name]], Locations[Row Labels],Locations[Group As])</f>
        <v>Mill Bridge Peopleton</v>
      </c>
      <c r="I560" t="str">
        <f>_xlfn.XLOOKUP(AllDataApr[[#This Row],[Site Name]],LocationsKey[Site Name],LocationsKey[Region])</f>
        <v>Pershore</v>
      </c>
      <c r="J560" t="str">
        <f>_xlfn.XLOOKUP(AllDataApr[[#This Row],[Site Name]],LocationsKey[Site Name], LocationsKey[Waterway])</f>
        <v>Bow Brook</v>
      </c>
      <c r="K560" t="s">
        <v>916</v>
      </c>
      <c r="L560">
        <v>52.151646</v>
      </c>
      <c r="M560">
        <v>-2.096368</v>
      </c>
      <c r="N560" t="s">
        <v>18</v>
      </c>
      <c r="O560">
        <v>523</v>
      </c>
      <c r="P560">
        <v>12.6</v>
      </c>
      <c r="Q560">
        <v>5</v>
      </c>
      <c r="R560" s="7" t="str">
        <f>IF(AllDataApr[[#This Row],[Nitrate (PPM)]]&gt;2, "Very high", IF(AllDataApr[[#This Row],[Nitrate (PPM)]]&gt;1, "High", IF(AllDataApr[[#This Row],[Nitrate (PPM)]]&gt;0.5, "Some evidence", IF(AllDataApr[[#This Row],[Nitrate (PPM)]]&gt;0, "No evidence", IF(AllDataApr[[#This Row],[Nitrate (PPM)]]=0, "")))))</f>
        <v>Very high</v>
      </c>
      <c r="S560">
        <v>0.46</v>
      </c>
      <c r="T560" s="7" t="str">
        <f>IF(AllDataApr[[#This Row],[Phosphate (PPM)]]&gt;0.5, "Very high", IF(AllDataApr[[#This Row],[Phosphate (PPM)]]&gt;0.1, "High", IF(AllDataApr[[#This Row],[Phosphate (PPM)]]&gt;0.05, "Some evidence", IF(AllDataApr[[#This Row],[Phosphate (PPM)]]=0, ""))))</f>
        <v>High</v>
      </c>
      <c r="U560">
        <v>1.4</v>
      </c>
      <c r="V560" t="s">
        <v>955</v>
      </c>
    </row>
    <row r="561" spans="1:22" x14ac:dyDescent="0.3">
      <c r="A561" t="s">
        <v>346</v>
      </c>
      <c r="B561" s="2">
        <v>45388</v>
      </c>
      <c r="C561" s="2" t="str" cm="1">
        <f t="array" ref="C56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61">
        <f>YEAR(AllDataApr[[#This Row],[Date]])</f>
        <v>2024</v>
      </c>
      <c r="E561" s="1">
        <v>0.36666666666666664</v>
      </c>
      <c r="F561" s="2" t="str">
        <f>IF(AND(AllDataApr[[#This Row],[Time]]&lt;0.5, AllDataApr[[#This Row],[Time]]&gt;0.17)=TRUE, "Morning", IF(AND(AllDataApr[[#This Row],[Time]]&lt;0.75, AllDataApr[[#This Row],[Time]]&gt;=0.5)=TRUE, "Afternoon", IF(AND(AllDataApr[[#This Row],[Time]]&lt;1, AllDataApr[[#This Row],[Time]]&gt;=0.75)=TRUE, "Evening", "Night")))</f>
        <v>Morning</v>
      </c>
      <c r="G561" t="s">
        <v>901</v>
      </c>
      <c r="H561" t="str">
        <f>_xlfn.XLOOKUP(AllDataApr[[#This Row],[Location Name]], Locations[Row Labels],Locations[Group As])</f>
        <v>Stour Whichford</v>
      </c>
      <c r="I561" t="str">
        <f>_xlfn.XLOOKUP(AllDataApr[[#This Row],[Site Name]],LocationsKey[Site Name],LocationsKey[Region])</f>
        <v>Shipston</v>
      </c>
      <c r="J561" t="str">
        <f>_xlfn.XLOOKUP(AllDataApr[[#This Row],[Site Name]],LocationsKey[Site Name], LocationsKey[Waterway])</f>
        <v>Stour</v>
      </c>
      <c r="K561" t="s">
        <v>912</v>
      </c>
      <c r="N561" t="s">
        <v>18</v>
      </c>
      <c r="O561">
        <v>50.9</v>
      </c>
      <c r="P561">
        <v>12.09</v>
      </c>
      <c r="Q561">
        <v>1.08</v>
      </c>
      <c r="R561" s="7" t="str">
        <f>IF(AllDataApr[[#This Row],[Nitrate (PPM)]]&gt;2, "Very high", IF(AllDataApr[[#This Row],[Nitrate (PPM)]]&gt;1, "High", IF(AllDataApr[[#This Row],[Nitrate (PPM)]]&gt;0.5, "Some evidence", IF(AllDataApr[[#This Row],[Nitrate (PPM)]]&gt;0, "No evidence", IF(AllDataApr[[#This Row],[Nitrate (PPM)]]=0, "")))))</f>
        <v>High</v>
      </c>
      <c r="S561">
        <v>0.54</v>
      </c>
      <c r="T561" s="7" t="str">
        <f>IF(AllDataApr[[#This Row],[Phosphate (PPM)]]&gt;0.5, "Very high", IF(AllDataApr[[#This Row],[Phosphate (PPM)]]&gt;0.1, "High", IF(AllDataApr[[#This Row],[Phosphate (PPM)]]&gt;0.05, "Some evidence", IF(AllDataApr[[#This Row],[Phosphate (PPM)]]=0, ""))))</f>
        <v>Very high</v>
      </c>
      <c r="U561">
        <v>25</v>
      </c>
    </row>
    <row r="562" spans="1:22" x14ac:dyDescent="0.3">
      <c r="A562" t="s">
        <v>345</v>
      </c>
      <c r="B562" s="2">
        <v>45388</v>
      </c>
      <c r="C562" s="2" t="str" cm="1">
        <f t="array" ref="C56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62">
        <f>YEAR(AllDataApr[[#This Row],[Date]])</f>
        <v>2024</v>
      </c>
      <c r="E562" s="1">
        <v>0.38750000000000001</v>
      </c>
      <c r="F562" s="2" t="str">
        <f>IF(AND(AllDataApr[[#This Row],[Time]]&lt;0.5, AllDataApr[[#This Row],[Time]]&gt;0.17)=TRUE, "Morning", IF(AND(AllDataApr[[#This Row],[Time]]&lt;0.75, AllDataApr[[#This Row],[Time]]&gt;=0.5)=TRUE, "Afternoon", IF(AND(AllDataApr[[#This Row],[Time]]&lt;1, AllDataApr[[#This Row],[Time]]&gt;=0.75)=TRUE, "Evening", "Night")))</f>
        <v>Morning</v>
      </c>
      <c r="G562" t="s">
        <v>901</v>
      </c>
      <c r="H562" t="str">
        <f>_xlfn.XLOOKUP(AllDataApr[[#This Row],[Location Name]], Locations[Row Labels],Locations[Group As])</f>
        <v>Stour Ascott Village</v>
      </c>
      <c r="I562" t="str">
        <f>_xlfn.XLOOKUP(AllDataApr[[#This Row],[Site Name]],LocationsKey[Site Name],LocationsKey[Region])</f>
        <v>Shipston</v>
      </c>
      <c r="J562" t="str">
        <f>_xlfn.XLOOKUP(AllDataApr[[#This Row],[Site Name]],LocationsKey[Site Name], LocationsKey[Waterway])</f>
        <v>Stour</v>
      </c>
      <c r="K562" t="s">
        <v>911</v>
      </c>
      <c r="N562" t="s">
        <v>42</v>
      </c>
      <c r="O562">
        <v>51.04</v>
      </c>
      <c r="P562">
        <v>12.9</v>
      </c>
      <c r="Q562">
        <v>2</v>
      </c>
      <c r="R562" s="7" t="str">
        <f>IF(AllDataApr[[#This Row],[Nitrate (PPM)]]&gt;2, "Very high", IF(AllDataApr[[#This Row],[Nitrate (PPM)]]&gt;1, "High", IF(AllDataApr[[#This Row],[Nitrate (PPM)]]&gt;0.5, "Some evidence", IF(AllDataApr[[#This Row],[Nitrate (PPM)]]&gt;0, "No evidence", IF(AllDataApr[[#This Row],[Nitrate (PPM)]]=0, "")))))</f>
        <v>High</v>
      </c>
      <c r="S562">
        <v>0.1</v>
      </c>
      <c r="T562" s="7" t="str">
        <f>IF(AllDataApr[[#This Row],[Phosphate (PPM)]]&gt;0.5, "Very high", IF(AllDataApr[[#This Row],[Phosphate (PPM)]]&gt;0.1, "High", IF(AllDataApr[[#This Row],[Phosphate (PPM)]]&gt;0.05, "Some evidence", IF(AllDataApr[[#This Row],[Phosphate (PPM)]]=0, ""))))</f>
        <v>Some evidence</v>
      </c>
      <c r="U562">
        <v>18</v>
      </c>
    </row>
    <row r="563" spans="1:22" x14ac:dyDescent="0.3">
      <c r="A563" t="s">
        <v>1190</v>
      </c>
      <c r="B563" s="2">
        <v>45388</v>
      </c>
      <c r="C563" s="2" t="str" cm="1">
        <f t="array" ref="C56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63">
        <f>YEAR(AllDataApr[[#This Row],[Date]])</f>
        <v>2024</v>
      </c>
      <c r="E563" s="1">
        <v>0.41666666666666669</v>
      </c>
      <c r="F563" s="2" t="str">
        <f>IF(AND(AllDataApr[[#This Row],[Time]]&lt;0.5, AllDataApr[[#This Row],[Time]]&gt;0.17)=TRUE, "Morning", IF(AND(AllDataApr[[#This Row],[Time]]&lt;0.75, AllDataApr[[#This Row],[Time]]&gt;=0.5)=TRUE, "Afternoon", IF(AND(AllDataApr[[#This Row],[Time]]&lt;1, AllDataApr[[#This Row],[Time]]&gt;=0.75)=TRUE, "Evening", "Night")))</f>
        <v>Morning</v>
      </c>
      <c r="G563" t="s">
        <v>1253</v>
      </c>
      <c r="H563" t="str">
        <f>_xlfn.XLOOKUP(AllDataApr[[#This Row],[Location Name]], Locations[Row Labels],Locations[Group As])</f>
        <v>Avonbank Drive</v>
      </c>
      <c r="I563" t="str">
        <f>_xlfn.XLOOKUP(AllDataApr[[#This Row],[Site Name]],LocationsKey[Site Name],LocationsKey[Region])</f>
        <v>Stratford</v>
      </c>
      <c r="J563" t="str">
        <f>_xlfn.XLOOKUP(AllDataApr[[#This Row],[Site Name]],LocationsKey[Site Name], LocationsKey[Waterway])</f>
        <v>Avon</v>
      </c>
      <c r="K563" t="s">
        <v>71</v>
      </c>
      <c r="L563">
        <v>43.328878000000003</v>
      </c>
      <c r="M563">
        <v>-81.129401000000001</v>
      </c>
      <c r="N563" t="s">
        <v>42</v>
      </c>
      <c r="O563" s="177">
        <v>642</v>
      </c>
      <c r="P563">
        <v>17.5</v>
      </c>
      <c r="Q563" s="177">
        <v>10</v>
      </c>
      <c r="R563" s="7" t="str">
        <f>IF(AllDataApr[[#This Row],[Nitrate (PPM)]]&gt;2, "Very high", IF(AllDataApr[[#This Row],[Nitrate (PPM)]]&gt;1, "High", IF(AllDataApr[[#This Row],[Nitrate (PPM)]]&gt;0.5, "Some evidence", IF(AllDataApr[[#This Row],[Nitrate (PPM)]]&gt;0, "No evidence", IF(AllDataApr[[#This Row],[Nitrate (PPM)]]=0, "")))))</f>
        <v>Very high</v>
      </c>
      <c r="S563" s="177">
        <v>0.38</v>
      </c>
      <c r="T563" s="7" t="str">
        <f>IF(AllDataApr[[#This Row],[Phosphate (PPM)]]&gt;0.5, "Very high", IF(AllDataApr[[#This Row],[Phosphate (PPM)]]&gt;0.1, "High", IF(AllDataApr[[#This Row],[Phosphate (PPM)]]&gt;0.05, "Some evidence", IF(AllDataApr[[#This Row],[Phosphate (PPM)]]=0, ""))))</f>
        <v>High</v>
      </c>
      <c r="U563">
        <v>1</v>
      </c>
    </row>
    <row r="564" spans="1:22" x14ac:dyDescent="0.3">
      <c r="A564" t="s">
        <v>1191</v>
      </c>
      <c r="B564" s="2">
        <v>45388</v>
      </c>
      <c r="C564" s="2" t="str" cm="1">
        <f t="array" ref="C56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64">
        <f>YEAR(AllDataApr[[#This Row],[Date]])</f>
        <v>2024</v>
      </c>
      <c r="E564" s="1">
        <v>0.41666666666666669</v>
      </c>
      <c r="F564" s="2" t="str">
        <f>IF(AND(AllDataApr[[#This Row],[Time]]&lt;0.5, AllDataApr[[#This Row],[Time]]&gt;0.17)=TRUE, "Morning", IF(AND(AllDataApr[[#This Row],[Time]]&lt;0.75, AllDataApr[[#This Row],[Time]]&gt;=0.5)=TRUE, "Afternoon", IF(AND(AllDataApr[[#This Row],[Time]]&lt;1, AllDataApr[[#This Row],[Time]]&gt;=0.75)=TRUE, "Evening", "Night")))</f>
        <v>Morning</v>
      </c>
      <c r="G564" t="s">
        <v>1253</v>
      </c>
      <c r="H564" t="str">
        <f>_xlfn.XLOOKUP(AllDataApr[[#This Row],[Location Name]], Locations[Row Labels],Locations[Group As])</f>
        <v>Pitch 16</v>
      </c>
      <c r="I564" t="str">
        <f>_xlfn.XLOOKUP(AllDataApr[[#This Row],[Site Name]],LocationsKey[Site Name],LocationsKey[Region])</f>
        <v>Stratford</v>
      </c>
      <c r="J564" t="str">
        <f>_xlfn.XLOOKUP(AllDataApr[[#This Row],[Site Name]],LocationsKey[Site Name], LocationsKey[Waterway])</f>
        <v>Avon</v>
      </c>
      <c r="K564" t="s">
        <v>39</v>
      </c>
      <c r="L564">
        <v>50.831715000000003</v>
      </c>
      <c r="M564">
        <v>-0.306093</v>
      </c>
      <c r="N564" t="s">
        <v>18</v>
      </c>
      <c r="O564" s="177">
        <v>641</v>
      </c>
      <c r="P564">
        <v>17.5</v>
      </c>
      <c r="Q564" s="177">
        <v>10</v>
      </c>
      <c r="R564" s="7" t="str">
        <f>IF(AllDataApr[[#This Row],[Nitrate (PPM)]]&gt;2, "Very high", IF(AllDataApr[[#This Row],[Nitrate (PPM)]]&gt;1, "High", IF(AllDataApr[[#This Row],[Nitrate (PPM)]]&gt;0.5, "Some evidence", IF(AllDataApr[[#This Row],[Nitrate (PPM)]]&gt;0, "No evidence", IF(AllDataApr[[#This Row],[Nitrate (PPM)]]=0, "")))))</f>
        <v>Very high</v>
      </c>
      <c r="S564" s="177">
        <v>0.36</v>
      </c>
      <c r="T564" s="7" t="str">
        <f>IF(AllDataApr[[#This Row],[Phosphate (PPM)]]&gt;0.5, "Very high", IF(AllDataApr[[#This Row],[Phosphate (PPM)]]&gt;0.1, "High", IF(AllDataApr[[#This Row],[Phosphate (PPM)]]&gt;0.05, "Some evidence", IF(AllDataApr[[#This Row],[Phosphate (PPM)]]=0, ""))))</f>
        <v>High</v>
      </c>
      <c r="U564">
        <v>1</v>
      </c>
    </row>
    <row r="565" spans="1:22" x14ac:dyDescent="0.3">
      <c r="A565" t="s">
        <v>344</v>
      </c>
      <c r="B565" s="2">
        <v>45388</v>
      </c>
      <c r="C565" s="2" t="str" cm="1">
        <f t="array" ref="C56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65">
        <f>YEAR(AllDataApr[[#This Row],[Date]])</f>
        <v>2024</v>
      </c>
      <c r="E565" s="1">
        <v>0.47430555555555554</v>
      </c>
      <c r="F565" s="2" t="str">
        <f>IF(AND(AllDataApr[[#This Row],[Time]]&lt;0.5, AllDataApr[[#This Row],[Time]]&gt;0.17)=TRUE, "Morning", IF(AND(AllDataApr[[#This Row],[Time]]&lt;0.75, AllDataApr[[#This Row],[Time]]&gt;=0.5)=TRUE, "Afternoon", IF(AND(AllDataApr[[#This Row],[Time]]&lt;1, AllDataApr[[#This Row],[Time]]&gt;=0.75)=TRUE, "Evening", "Night")))</f>
        <v>Morning</v>
      </c>
      <c r="G565" t="s">
        <v>904</v>
      </c>
      <c r="H565" t="str">
        <f>_xlfn.XLOOKUP(AllDataApr[[#This Row],[Location Name]], Locations[Row Labels],Locations[Group As])</f>
        <v>Avon Smiths Meadow Wyre Piddle</v>
      </c>
      <c r="I565" t="str">
        <f>_xlfn.XLOOKUP(AllDataApr[[#This Row],[Site Name]],LocationsKey[Site Name],LocationsKey[Region])</f>
        <v>Pershore</v>
      </c>
      <c r="J565" t="str">
        <f>_xlfn.XLOOKUP(AllDataApr[[#This Row],[Site Name]],LocationsKey[Site Name], LocationsKey[Waterway])</f>
        <v>Avon</v>
      </c>
      <c r="K565" t="s">
        <v>909</v>
      </c>
      <c r="L565">
        <v>52.125045</v>
      </c>
      <c r="M565">
        <v>-2.0538820000000002</v>
      </c>
      <c r="N565" t="s">
        <v>200</v>
      </c>
      <c r="O565">
        <v>495</v>
      </c>
      <c r="P565">
        <v>13</v>
      </c>
      <c r="Q565">
        <v>4</v>
      </c>
      <c r="R565" s="7" t="str">
        <f>IF(AllDataApr[[#This Row],[Nitrate (PPM)]]&gt;2, "Very high", IF(AllDataApr[[#This Row],[Nitrate (PPM)]]&gt;1, "High", IF(AllDataApr[[#This Row],[Nitrate (PPM)]]&gt;0.5, "Some evidence", IF(AllDataApr[[#This Row],[Nitrate (PPM)]]&gt;0, "No evidence", IF(AllDataApr[[#This Row],[Nitrate (PPM)]]=0, "")))))</f>
        <v>Very high</v>
      </c>
      <c r="S565">
        <v>0.37</v>
      </c>
      <c r="T565" s="7" t="str">
        <f>IF(AllDataApr[[#This Row],[Phosphate (PPM)]]&gt;0.5, "Very high", IF(AllDataApr[[#This Row],[Phosphate (PPM)]]&gt;0.1, "High", IF(AllDataApr[[#This Row],[Phosphate (PPM)]]&gt;0.05, "Some evidence", IF(AllDataApr[[#This Row],[Phosphate (PPM)]]=0, ""))))</f>
        <v>High</v>
      </c>
      <c r="U565">
        <v>2.0299999999999998</v>
      </c>
      <c r="V565" t="s">
        <v>954</v>
      </c>
    </row>
    <row r="566" spans="1:22" x14ac:dyDescent="0.3">
      <c r="A566" t="s">
        <v>342</v>
      </c>
      <c r="B566" s="2">
        <v>45388</v>
      </c>
      <c r="C566" s="2" t="str" cm="1">
        <f t="array" ref="C56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66">
        <f>YEAR(AllDataApr[[#This Row],[Date]])</f>
        <v>2024</v>
      </c>
      <c r="E566" s="1">
        <v>0.51041666666666663</v>
      </c>
      <c r="F566" s="2" t="str">
        <f>IF(AND(AllDataApr[[#This Row],[Time]]&lt;0.5, AllDataApr[[#This Row],[Time]]&gt;0.17)=TRUE, "Morning", IF(AND(AllDataApr[[#This Row],[Time]]&lt;0.75, AllDataApr[[#This Row],[Time]]&gt;=0.5)=TRUE, "Afternoon", IF(AND(AllDataApr[[#This Row],[Time]]&lt;1, AllDataApr[[#This Row],[Time]]&gt;=0.75)=TRUE, "Evening", "Night")))</f>
        <v>Afternoon</v>
      </c>
      <c r="G566" t="s">
        <v>904</v>
      </c>
      <c r="H566" t="str">
        <f>_xlfn.XLOOKUP(AllDataApr[[#This Row],[Location Name]], Locations[Row Labels],Locations[Group As])</f>
        <v>Piddle Brook Wyre Piddle Bridge</v>
      </c>
      <c r="I566" t="str">
        <f>_xlfn.XLOOKUP(AllDataApr[[#This Row],[Site Name]],LocationsKey[Site Name],LocationsKey[Region])</f>
        <v>Pershore</v>
      </c>
      <c r="J566" t="str">
        <f>_xlfn.XLOOKUP(AllDataApr[[#This Row],[Site Name]],LocationsKey[Site Name], LocationsKey[Waterway])</f>
        <v>Piddle Brook</v>
      </c>
      <c r="K566" t="s">
        <v>908</v>
      </c>
      <c r="L566">
        <v>52.126424</v>
      </c>
      <c r="M566">
        <v>-2.0565760000000002</v>
      </c>
      <c r="N566" t="s">
        <v>200</v>
      </c>
      <c r="O566">
        <v>639</v>
      </c>
      <c r="P566">
        <v>13.3</v>
      </c>
      <c r="Q566">
        <v>4</v>
      </c>
      <c r="R566" s="7" t="str">
        <f>IF(AllDataApr[[#This Row],[Nitrate (PPM)]]&gt;2, "Very high", IF(AllDataApr[[#This Row],[Nitrate (PPM)]]&gt;1, "High", IF(AllDataApr[[#This Row],[Nitrate (PPM)]]&gt;0.5, "Some evidence", IF(AllDataApr[[#This Row],[Nitrate (PPM)]]&gt;0, "No evidence", IF(AllDataApr[[#This Row],[Nitrate (PPM)]]=0, "")))))</f>
        <v>Very high</v>
      </c>
      <c r="S566">
        <v>0.32</v>
      </c>
      <c r="T566" s="7" t="str">
        <f>IF(AllDataApr[[#This Row],[Phosphate (PPM)]]&gt;0.5, "Very high", IF(AllDataApr[[#This Row],[Phosphate (PPM)]]&gt;0.1, "High", IF(AllDataApr[[#This Row],[Phosphate (PPM)]]&gt;0.05, "Some evidence", IF(AllDataApr[[#This Row],[Phosphate (PPM)]]=0, ""))))</f>
        <v>High</v>
      </c>
      <c r="U566">
        <v>0.96</v>
      </c>
      <c r="V566" t="s">
        <v>952</v>
      </c>
    </row>
    <row r="567" spans="1:22" x14ac:dyDescent="0.3">
      <c r="A567" t="s">
        <v>341</v>
      </c>
      <c r="B567" s="2">
        <v>45388</v>
      </c>
      <c r="C567" s="2" t="str" cm="1">
        <f t="array" ref="C56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67">
        <f>YEAR(AllDataApr[[#This Row],[Date]])</f>
        <v>2024</v>
      </c>
      <c r="E567" s="1">
        <v>0.59027777777777779</v>
      </c>
      <c r="F567" s="2" t="str">
        <f>IF(AND(AllDataApr[[#This Row],[Time]]&lt;0.5, AllDataApr[[#This Row],[Time]]&gt;0.17)=TRUE, "Morning", IF(AND(AllDataApr[[#This Row],[Time]]&lt;0.75, AllDataApr[[#This Row],[Time]]&gt;=0.5)=TRUE, "Afternoon", IF(AND(AllDataApr[[#This Row],[Time]]&lt;1, AllDataApr[[#This Row],[Time]]&gt;=0.75)=TRUE, "Evening", "Night")))</f>
        <v>Afternoon</v>
      </c>
      <c r="G567" t="s">
        <v>59</v>
      </c>
      <c r="H567" t="str">
        <f>_xlfn.XLOOKUP(AllDataApr[[#This Row],[Location Name]], Locations[Row Labels],Locations[Group As])</f>
        <v>Preston-on-Stour River Bridge</v>
      </c>
      <c r="I567" t="str">
        <f>_xlfn.XLOOKUP(AllDataApr[[#This Row],[Site Name]],LocationsKey[Site Name],LocationsKey[Region])</f>
        <v>Stratford</v>
      </c>
      <c r="J567" t="str">
        <f>_xlfn.XLOOKUP(AllDataApr[[#This Row],[Site Name]],LocationsKey[Site Name], LocationsKey[Waterway])</f>
        <v>Stour</v>
      </c>
      <c r="K567" t="s">
        <v>78</v>
      </c>
      <c r="L567">
        <v>52.146602000000001</v>
      </c>
      <c r="M567">
        <v>-1.70031</v>
      </c>
      <c r="N567" t="s">
        <v>18</v>
      </c>
      <c r="O567">
        <v>544</v>
      </c>
      <c r="P567">
        <v>14.4</v>
      </c>
      <c r="Q567">
        <v>6</v>
      </c>
      <c r="R567" s="7" t="str">
        <f>IF(AllDataApr[[#This Row],[Nitrate (PPM)]]&gt;2, "Very high", IF(AllDataApr[[#This Row],[Nitrate (PPM)]]&gt;1, "High", IF(AllDataApr[[#This Row],[Nitrate (PPM)]]&gt;0.5, "Some evidence", IF(AllDataApr[[#This Row],[Nitrate (PPM)]]&gt;0, "No evidence", IF(AllDataApr[[#This Row],[Nitrate (PPM)]]=0, "")))))</f>
        <v>Very high</v>
      </c>
      <c r="S567">
        <v>0.26</v>
      </c>
      <c r="T567" s="7" t="str">
        <f>IF(AllDataApr[[#This Row],[Phosphate (PPM)]]&gt;0.5, "Very high", IF(AllDataApr[[#This Row],[Phosphate (PPM)]]&gt;0.1, "High", IF(AllDataApr[[#This Row],[Phosphate (PPM)]]&gt;0.05, "Some evidence", IF(AllDataApr[[#This Row],[Phosphate (PPM)]]=0, ""))))</f>
        <v>High</v>
      </c>
      <c r="U567">
        <v>2</v>
      </c>
      <c r="V567" t="s">
        <v>951</v>
      </c>
    </row>
    <row r="568" spans="1:22" x14ac:dyDescent="0.3">
      <c r="A568" t="s">
        <v>340</v>
      </c>
      <c r="B568" s="2">
        <v>45388</v>
      </c>
      <c r="C568" s="2" t="str" cm="1">
        <f t="array" ref="C56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68">
        <f>YEAR(AllDataApr[[#This Row],[Date]])</f>
        <v>2024</v>
      </c>
      <c r="E568" s="1">
        <v>0.625</v>
      </c>
      <c r="F568" s="2" t="str">
        <f>IF(AND(AllDataApr[[#This Row],[Time]]&lt;0.5, AllDataApr[[#This Row],[Time]]&gt;0.17)=TRUE, "Morning", IF(AND(AllDataApr[[#This Row],[Time]]&lt;0.75, AllDataApr[[#This Row],[Time]]&gt;=0.5)=TRUE, "Afternoon", IF(AND(AllDataApr[[#This Row],[Time]]&lt;1, AllDataApr[[#This Row],[Time]]&gt;=0.75)=TRUE, "Evening", "Night")))</f>
        <v>Afternoon</v>
      </c>
      <c r="G568" t="s">
        <v>52</v>
      </c>
      <c r="H568" t="str">
        <f>_xlfn.XLOOKUP(AllDataApr[[#This Row],[Location Name]], Locations[Row Labels],Locations[Group As])</f>
        <v>Carrant Bredon Rd</v>
      </c>
      <c r="I568" t="str">
        <f>_xlfn.XLOOKUP(AllDataApr[[#This Row],[Site Name]],LocationsKey[Site Name],LocationsKey[Region])</f>
        <v>Tewkesbury</v>
      </c>
      <c r="J568" t="str">
        <f>_xlfn.XLOOKUP(AllDataApr[[#This Row],[Site Name]],LocationsKey[Site Name], LocationsKey[Waterway])</f>
        <v>Carrant</v>
      </c>
      <c r="K568" t="s">
        <v>179</v>
      </c>
      <c r="L568">
        <v>51.996315000000003</v>
      </c>
      <c r="M568">
        <v>-2.1561300000000001</v>
      </c>
      <c r="N568" t="s">
        <v>200</v>
      </c>
      <c r="O568">
        <v>652</v>
      </c>
      <c r="P568">
        <v>15.1</v>
      </c>
      <c r="Q568">
        <v>5</v>
      </c>
      <c r="R568" s="7" t="str">
        <f>IF(AllDataApr[[#This Row],[Nitrate (PPM)]]&gt;2, "Very high", IF(AllDataApr[[#This Row],[Nitrate (PPM)]]&gt;1, "High", IF(AllDataApr[[#This Row],[Nitrate (PPM)]]&gt;0.5, "Some evidence", IF(AllDataApr[[#This Row],[Nitrate (PPM)]]&gt;0, "No evidence", IF(AllDataApr[[#This Row],[Nitrate (PPM)]]=0, "")))))</f>
        <v>Very high</v>
      </c>
      <c r="S568">
        <v>0.3</v>
      </c>
      <c r="T568" s="7" t="str">
        <f>IF(AllDataApr[[#This Row],[Phosphate (PPM)]]&gt;0.5, "Very high", IF(AllDataApr[[#This Row],[Phosphate (PPM)]]&gt;0.1, "High", IF(AllDataApr[[#This Row],[Phosphate (PPM)]]&gt;0.05, "Some evidence", IF(AllDataApr[[#This Row],[Phosphate (PPM)]]=0, ""))))</f>
        <v>High</v>
      </c>
      <c r="U568">
        <v>1.28</v>
      </c>
      <c r="V568" t="s">
        <v>950</v>
      </c>
    </row>
    <row r="569" spans="1:22" x14ac:dyDescent="0.3">
      <c r="A569" t="s">
        <v>339</v>
      </c>
      <c r="B569" s="2">
        <v>45388</v>
      </c>
      <c r="C569" s="2" t="str" cm="1">
        <f t="array" ref="C56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69">
        <f>YEAR(AllDataApr[[#This Row],[Date]])</f>
        <v>2024</v>
      </c>
      <c r="E569" s="1">
        <v>0.64583333333333337</v>
      </c>
      <c r="F569" s="2" t="str">
        <f>IF(AND(AllDataApr[[#This Row],[Time]]&lt;0.5, AllDataApr[[#This Row],[Time]]&gt;0.17)=TRUE, "Morning", IF(AND(AllDataApr[[#This Row],[Time]]&lt;0.75, AllDataApr[[#This Row],[Time]]&gt;=0.5)=TRUE, "Afternoon", IF(AND(AllDataApr[[#This Row],[Time]]&lt;1, AllDataApr[[#This Row],[Time]]&gt;=0.75)=TRUE, "Evening", "Night")))</f>
        <v>Afternoon</v>
      </c>
      <c r="G569" t="s">
        <v>52</v>
      </c>
      <c r="H569" t="str">
        <f>_xlfn.XLOOKUP(AllDataApr[[#This Row],[Location Name]], Locations[Row Labels],Locations[Group As])</f>
        <v>Black Bear</v>
      </c>
      <c r="I569" t="str">
        <f>_xlfn.XLOOKUP(AllDataApr[[#This Row],[Site Name]],LocationsKey[Site Name],LocationsKey[Region])</f>
        <v>Tewkesbury</v>
      </c>
      <c r="J569" t="str">
        <f>_xlfn.XLOOKUP(AllDataApr[[#This Row],[Site Name]],LocationsKey[Site Name], LocationsKey[Waterway])</f>
        <v>Avon</v>
      </c>
      <c r="K569" t="s">
        <v>231</v>
      </c>
      <c r="O569">
        <v>631</v>
      </c>
      <c r="P569">
        <v>14.6</v>
      </c>
      <c r="Q569">
        <v>5</v>
      </c>
      <c r="R569" s="7" t="str">
        <f>IF(AllDataApr[[#This Row],[Nitrate (PPM)]]&gt;2, "Very high", IF(AllDataApr[[#This Row],[Nitrate (PPM)]]&gt;1, "High", IF(AllDataApr[[#This Row],[Nitrate (PPM)]]&gt;0.5, "Some evidence", IF(AllDataApr[[#This Row],[Nitrate (PPM)]]&gt;0, "No evidence", IF(AllDataApr[[#This Row],[Nitrate (PPM)]]=0, "")))))</f>
        <v>Very high</v>
      </c>
      <c r="S569">
        <v>0.4</v>
      </c>
      <c r="T569" s="7" t="str">
        <f>IF(AllDataApr[[#This Row],[Phosphate (PPM)]]&gt;0.5, "Very high", IF(AllDataApr[[#This Row],[Phosphate (PPM)]]&gt;0.1, "High", IF(AllDataApr[[#This Row],[Phosphate (PPM)]]&gt;0.05, "Some evidence", IF(AllDataApr[[#This Row],[Phosphate (PPM)]]=0, ""))))</f>
        <v>High</v>
      </c>
      <c r="U569">
        <v>0</v>
      </c>
      <c r="V569" t="s">
        <v>949</v>
      </c>
    </row>
    <row r="570" spans="1:22" x14ac:dyDescent="0.3">
      <c r="A570" t="s">
        <v>313</v>
      </c>
      <c r="B570" s="2">
        <v>45389</v>
      </c>
      <c r="C570" s="2" t="str" cm="1">
        <f t="array" ref="C57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70">
        <f>YEAR(AllDataApr[[#This Row],[Date]])</f>
        <v>2024</v>
      </c>
      <c r="E570" s="1">
        <v>0.4513888888888889</v>
      </c>
      <c r="F570" s="2" t="str">
        <f>IF(AND(AllDataApr[[#This Row],[Time]]&lt;0.5, AllDataApr[[#This Row],[Time]]&gt;0.17)=TRUE, "Morning", IF(AND(AllDataApr[[#This Row],[Time]]&lt;0.75, AllDataApr[[#This Row],[Time]]&gt;=0.5)=TRUE, "Afternoon", IF(AND(AllDataApr[[#This Row],[Time]]&lt;1, AllDataApr[[#This Row],[Time]]&gt;=0.75)=TRUE, "Evening", "Night")))</f>
        <v>Morning</v>
      </c>
      <c r="G570" t="s">
        <v>902</v>
      </c>
      <c r="H570" t="str">
        <f>_xlfn.XLOOKUP(AllDataApr[[#This Row],[Location Name]], Locations[Row Labels],Locations[Group As])</f>
        <v>The Ford, Langley</v>
      </c>
      <c r="I570" t="str">
        <f>_xlfn.XLOOKUP(AllDataApr[[#This Row],[Site Name]],LocationsKey[Site Name],LocationsKey[Region])</f>
        <v>Henley-in-Arden</v>
      </c>
      <c r="J570" t="str">
        <f>_xlfn.XLOOKUP(AllDataApr[[#This Row],[Site Name]],LocationsKey[Site Name], LocationsKey[Waterway])</f>
        <v>Langley Ford</v>
      </c>
      <c r="K570" t="s">
        <v>230</v>
      </c>
      <c r="L570">
        <v>52.259639</v>
      </c>
      <c r="M570">
        <v>-1.7181999999999999</v>
      </c>
      <c r="N570" t="s">
        <v>18</v>
      </c>
      <c r="O570">
        <v>436</v>
      </c>
      <c r="P570">
        <v>11</v>
      </c>
      <c r="Q570">
        <v>0.5</v>
      </c>
      <c r="R570" s="7" t="str">
        <f>IF(AllDataApr[[#This Row],[Nitrate (PPM)]]&gt;2, "Very high", IF(AllDataApr[[#This Row],[Nitrate (PPM)]]&gt;1, "High", IF(AllDataApr[[#This Row],[Nitrate (PPM)]]&gt;0.5, "Some evidence", IF(AllDataApr[[#This Row],[Nitrate (PPM)]]&gt;0, "No evidence", IF(AllDataApr[[#This Row],[Nitrate (PPM)]]=0, "")))))</f>
        <v>No evidence</v>
      </c>
      <c r="S570">
        <v>0.73</v>
      </c>
      <c r="T570" s="7" t="str">
        <f>IF(AllDataApr[[#This Row],[Phosphate (PPM)]]&gt;0.5, "Very high", IF(AllDataApr[[#This Row],[Phosphate (PPM)]]&gt;0.1, "High", IF(AllDataApr[[#This Row],[Phosphate (PPM)]]&gt;0.05, "Some evidence", IF(AllDataApr[[#This Row],[Phosphate (PPM)]]=0, ""))))</f>
        <v>Very high</v>
      </c>
      <c r="U570">
        <v>0.45</v>
      </c>
      <c r="V570" t="s">
        <v>936</v>
      </c>
    </row>
    <row r="571" spans="1:22" x14ac:dyDescent="0.3">
      <c r="A571" t="s">
        <v>327</v>
      </c>
      <c r="B571" s="2">
        <v>45389</v>
      </c>
      <c r="C571" s="2" t="str" cm="1">
        <f t="array" ref="C57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71">
        <f>YEAR(AllDataApr[[#This Row],[Date]])</f>
        <v>2024</v>
      </c>
      <c r="E571" s="1">
        <v>0.57291666666666663</v>
      </c>
      <c r="F571" s="2" t="str">
        <f>IF(AND(AllDataApr[[#This Row],[Time]]&lt;0.5, AllDataApr[[#This Row],[Time]]&gt;0.17)=TRUE, "Morning", IF(AND(AllDataApr[[#This Row],[Time]]&lt;0.75, AllDataApr[[#This Row],[Time]]&gt;=0.5)=TRUE, "Afternoon", IF(AND(AllDataApr[[#This Row],[Time]]&lt;1, AllDataApr[[#This Row],[Time]]&gt;=0.75)=TRUE, "Evening", "Night")))</f>
        <v>Afternoon</v>
      </c>
      <c r="G571" t="s">
        <v>112</v>
      </c>
      <c r="H571" t="str">
        <f>_xlfn.XLOOKUP(AllDataApr[[#This Row],[Location Name]], Locations[Row Labels],Locations[Group As])</f>
        <v>Clifford Chambers Mill Bridge</v>
      </c>
      <c r="I571" t="str">
        <f>_xlfn.XLOOKUP(AllDataApr[[#This Row],[Site Name]],LocationsKey[Site Name],LocationsKey[Region])</f>
        <v>Stratford</v>
      </c>
      <c r="J571" t="str">
        <f>_xlfn.XLOOKUP(AllDataApr[[#This Row],[Site Name]],LocationsKey[Site Name], LocationsKey[Waterway])</f>
        <v>Stour</v>
      </c>
      <c r="K571" t="s">
        <v>119</v>
      </c>
      <c r="L571">
        <v>52.166370000000001</v>
      </c>
      <c r="M571">
        <v>-1.708032</v>
      </c>
      <c r="N571" t="s">
        <v>1047</v>
      </c>
      <c r="O571">
        <v>617</v>
      </c>
      <c r="P571">
        <v>14.4</v>
      </c>
      <c r="Q571">
        <v>9</v>
      </c>
      <c r="R571" s="7" t="str">
        <f>IF(AllDataApr[[#This Row],[Nitrate (PPM)]]&gt;2, "Very high", IF(AllDataApr[[#This Row],[Nitrate (PPM)]]&gt;1, "High", IF(AllDataApr[[#This Row],[Nitrate (PPM)]]&gt;0.5, "Some evidence", IF(AllDataApr[[#This Row],[Nitrate (PPM)]]&gt;0, "No evidence", IF(AllDataApr[[#This Row],[Nitrate (PPM)]]=0, "")))))</f>
        <v>Very high</v>
      </c>
      <c r="S571">
        <v>0.24</v>
      </c>
      <c r="T571" s="7" t="str">
        <f>IF(AllDataApr[[#This Row],[Phosphate (PPM)]]&gt;0.5, "Very high", IF(AllDataApr[[#This Row],[Phosphate (PPM)]]&gt;0.1, "High", IF(AllDataApr[[#This Row],[Phosphate (PPM)]]&gt;0.05, "Some evidence", IF(AllDataApr[[#This Row],[Phosphate (PPM)]]=0, ""))))</f>
        <v>High</v>
      </c>
      <c r="U571">
        <v>1.25</v>
      </c>
      <c r="V571" t="s">
        <v>14</v>
      </c>
    </row>
    <row r="572" spans="1:22" x14ac:dyDescent="0.3">
      <c r="A572" t="s">
        <v>338</v>
      </c>
      <c r="B572" s="2">
        <v>45389</v>
      </c>
      <c r="C572" s="2" t="str" cm="1">
        <f t="array" ref="C57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72">
        <f>YEAR(AllDataApr[[#This Row],[Date]])</f>
        <v>2024</v>
      </c>
      <c r="E572" s="1">
        <v>0.61041666666666672</v>
      </c>
      <c r="F572" s="2" t="str">
        <f>IF(AND(AllDataApr[[#This Row],[Time]]&lt;0.5, AllDataApr[[#This Row],[Time]]&gt;0.17)=TRUE, "Morning", IF(AND(AllDataApr[[#This Row],[Time]]&lt;0.75, AllDataApr[[#This Row],[Time]]&gt;=0.5)=TRUE, "Afternoon", IF(AND(AllDataApr[[#This Row],[Time]]&lt;1, AllDataApr[[#This Row],[Time]]&gt;=0.75)=TRUE, "Evening", "Night")))</f>
        <v>Afternoon</v>
      </c>
      <c r="G572" t="s">
        <v>903</v>
      </c>
      <c r="H572" t="str">
        <f>_xlfn.XLOOKUP(AllDataApr[[#This Row],[Location Name]], Locations[Row Labels],Locations[Group As])</f>
        <v>Walcot Lane, Bow Brook Ford</v>
      </c>
      <c r="I572" t="str">
        <f>_xlfn.XLOOKUP(AllDataApr[[#This Row],[Site Name]],LocationsKey[Site Name],LocationsKey[Region])</f>
        <v>Pershore</v>
      </c>
      <c r="J572" t="str">
        <f>_xlfn.XLOOKUP(AllDataApr[[#This Row],[Site Name]],LocationsKey[Site Name], LocationsKey[Waterway])</f>
        <v>Bow Brook</v>
      </c>
      <c r="K572" t="s">
        <v>915</v>
      </c>
      <c r="L572">
        <v>52.130467000000003</v>
      </c>
      <c r="M572">
        <v>-2.0785360000000002</v>
      </c>
      <c r="N572" t="s">
        <v>200</v>
      </c>
      <c r="O572">
        <v>749</v>
      </c>
      <c r="P572">
        <v>13.2</v>
      </c>
      <c r="Q572">
        <v>5</v>
      </c>
      <c r="R572" s="7" t="str">
        <f>IF(AllDataApr[[#This Row],[Nitrate (PPM)]]&gt;2, "Very high", IF(AllDataApr[[#This Row],[Nitrate (PPM)]]&gt;1, "High", IF(AllDataApr[[#This Row],[Nitrate (PPM)]]&gt;0.5, "Some evidence", IF(AllDataApr[[#This Row],[Nitrate (PPM)]]&gt;0, "No evidence", IF(AllDataApr[[#This Row],[Nitrate (PPM)]]=0, "")))))</f>
        <v>Very high</v>
      </c>
      <c r="S572">
        <v>0.8</v>
      </c>
      <c r="T572" s="7" t="str">
        <f>IF(AllDataApr[[#This Row],[Phosphate (PPM)]]&gt;0.5, "Very high", IF(AllDataApr[[#This Row],[Phosphate (PPM)]]&gt;0.1, "High", IF(AllDataApr[[#This Row],[Phosphate (PPM)]]&gt;0.05, "Some evidence", IF(AllDataApr[[#This Row],[Phosphate (PPM)]]=0, ""))))</f>
        <v>Very high</v>
      </c>
      <c r="U572">
        <v>0.9</v>
      </c>
      <c r="V572" t="s">
        <v>948</v>
      </c>
    </row>
    <row r="573" spans="1:22" x14ac:dyDescent="0.3">
      <c r="A573" t="s">
        <v>337</v>
      </c>
      <c r="B573" s="2">
        <v>45389</v>
      </c>
      <c r="C573" s="2" t="str" cm="1">
        <f t="array" ref="C57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73">
        <f>YEAR(AllDataApr[[#This Row],[Date]])</f>
        <v>2024</v>
      </c>
      <c r="E573" s="1">
        <v>0.61805555555555558</v>
      </c>
      <c r="F573" s="2" t="str">
        <f>IF(AND(AllDataApr[[#This Row],[Time]]&lt;0.5, AllDataApr[[#This Row],[Time]]&gt;0.17)=TRUE, "Morning", IF(AND(AllDataApr[[#This Row],[Time]]&lt;0.75, AllDataApr[[#This Row],[Time]]&gt;=0.5)=TRUE, "Afternoon", IF(AND(AllDataApr[[#This Row],[Time]]&lt;1, AllDataApr[[#This Row],[Time]]&gt;=0.75)=TRUE, "Evening", "Night")))</f>
        <v>Afternoon</v>
      </c>
      <c r="G573" t="s">
        <v>900</v>
      </c>
      <c r="H573" t="str">
        <f>_xlfn.XLOOKUP(AllDataApr[[#This Row],[Location Name]], Locations[Row Labels],Locations[Group As])</f>
        <v>Fell Mill Footbridge</v>
      </c>
      <c r="I573" t="str">
        <f>_xlfn.XLOOKUP(AllDataApr[[#This Row],[Site Name]],LocationsKey[Site Name],LocationsKey[Region])</f>
        <v>Shipston</v>
      </c>
      <c r="J573" t="str">
        <f>_xlfn.XLOOKUP(AllDataApr[[#This Row],[Site Name]],LocationsKey[Site Name], LocationsKey[Waterway])</f>
        <v>Stour</v>
      </c>
      <c r="K573" t="s">
        <v>910</v>
      </c>
      <c r="L573">
        <v>52.070086000000003</v>
      </c>
      <c r="M573">
        <v>-1.61145</v>
      </c>
      <c r="N573" t="s">
        <v>18</v>
      </c>
      <c r="O573">
        <v>579</v>
      </c>
      <c r="P573">
        <v>12.5</v>
      </c>
      <c r="Q573">
        <v>2</v>
      </c>
      <c r="R573" s="7" t="str">
        <f>IF(AllDataApr[[#This Row],[Nitrate (PPM)]]&gt;2, "Very high", IF(AllDataApr[[#This Row],[Nitrate (PPM)]]&gt;1, "High", IF(AllDataApr[[#This Row],[Nitrate (PPM)]]&gt;0.5, "Some evidence", IF(AllDataApr[[#This Row],[Nitrate (PPM)]]&gt;0, "No evidence", IF(AllDataApr[[#This Row],[Nitrate (PPM)]]=0, "")))))</f>
        <v>High</v>
      </c>
      <c r="S573">
        <v>0.22</v>
      </c>
      <c r="T573" s="7" t="str">
        <f>IF(AllDataApr[[#This Row],[Phosphate (PPM)]]&gt;0.5, "Very high", IF(AllDataApr[[#This Row],[Phosphate (PPM)]]&gt;0.1, "High", IF(AllDataApr[[#This Row],[Phosphate (PPM)]]&gt;0.05, "Some evidence", IF(AllDataApr[[#This Row],[Phosphate (PPM)]]=0, ""))))</f>
        <v>High</v>
      </c>
      <c r="U573">
        <v>1.75</v>
      </c>
      <c r="V573" t="s">
        <v>947</v>
      </c>
    </row>
    <row r="574" spans="1:22" x14ac:dyDescent="0.3">
      <c r="A574" t="s">
        <v>334</v>
      </c>
      <c r="B574" s="2">
        <v>45390</v>
      </c>
      <c r="C574" s="2" t="str" cm="1">
        <f t="array" ref="C57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74">
        <f>YEAR(AllDataApr[[#This Row],[Date]])</f>
        <v>2024</v>
      </c>
      <c r="E574" s="1">
        <v>0.40555555555555556</v>
      </c>
      <c r="F574" s="2" t="str">
        <f>IF(AND(AllDataApr[[#This Row],[Time]]&lt;0.5, AllDataApr[[#This Row],[Time]]&gt;0.17)=TRUE, "Morning", IF(AND(AllDataApr[[#This Row],[Time]]&lt;0.75, AllDataApr[[#This Row],[Time]]&gt;=0.5)=TRUE, "Afternoon", IF(AND(AllDataApr[[#This Row],[Time]]&lt;1, AllDataApr[[#This Row],[Time]]&gt;=0.75)=TRUE, "Evening", "Night")))</f>
        <v>Morning</v>
      </c>
      <c r="G574" t="s">
        <v>150</v>
      </c>
      <c r="H574" t="str">
        <f>_xlfn.XLOOKUP(AllDataApr[[#This Row],[Location Name]], Locations[Row Labels],Locations[Group As])</f>
        <v>Stour Stretton-on-Fosse Village</v>
      </c>
      <c r="I574" t="str">
        <f>_xlfn.XLOOKUP(AllDataApr[[#This Row],[Site Name]],LocationsKey[Site Name],LocationsKey[Region])</f>
        <v>Shipston</v>
      </c>
      <c r="J574" t="str">
        <f>_xlfn.XLOOKUP(AllDataApr[[#This Row],[Site Name]],LocationsKey[Site Name], LocationsKey[Waterway])</f>
        <v>Stour</v>
      </c>
      <c r="K574" t="s">
        <v>198</v>
      </c>
      <c r="L574">
        <v>52.046472000000001</v>
      </c>
      <c r="M574">
        <v>-1.6733560000000001</v>
      </c>
      <c r="N574" t="s">
        <v>42</v>
      </c>
      <c r="O574">
        <v>610</v>
      </c>
      <c r="P574">
        <v>11.4</v>
      </c>
      <c r="Q574">
        <v>2</v>
      </c>
      <c r="R574" s="7" t="str">
        <f>IF(AllDataApr[[#This Row],[Nitrate (PPM)]]&gt;2, "Very high", IF(AllDataApr[[#This Row],[Nitrate (PPM)]]&gt;1, "High", IF(AllDataApr[[#This Row],[Nitrate (PPM)]]&gt;0.5, "Some evidence", IF(AllDataApr[[#This Row],[Nitrate (PPM)]]&gt;0, "No evidence", IF(AllDataApr[[#This Row],[Nitrate (PPM)]]=0, "")))))</f>
        <v>High</v>
      </c>
      <c r="S574">
        <v>1.28</v>
      </c>
      <c r="T574" s="7" t="str">
        <f>IF(AllDataApr[[#This Row],[Phosphate (PPM)]]&gt;0.5, "Very high", IF(AllDataApr[[#This Row],[Phosphate (PPM)]]&gt;0.1, "High", IF(AllDataApr[[#This Row],[Phosphate (PPM)]]&gt;0.05, "Some evidence", IF(AllDataApr[[#This Row],[Phosphate (PPM)]]=0, ""))))</f>
        <v>Very high</v>
      </c>
      <c r="U574">
        <v>0.2</v>
      </c>
    </row>
    <row r="575" spans="1:22" x14ac:dyDescent="0.3">
      <c r="A575" t="s">
        <v>333</v>
      </c>
      <c r="B575" s="2">
        <v>45390</v>
      </c>
      <c r="C575" s="2" t="str" cm="1">
        <f t="array" ref="C57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75">
        <f>YEAR(AllDataApr[[#This Row],[Date]])</f>
        <v>2024</v>
      </c>
      <c r="E575" s="1">
        <v>0.41736111111111113</v>
      </c>
      <c r="F575" s="2" t="str">
        <f>IF(AND(AllDataApr[[#This Row],[Time]]&lt;0.5, AllDataApr[[#This Row],[Time]]&gt;0.17)=TRUE, "Morning", IF(AND(AllDataApr[[#This Row],[Time]]&lt;0.75, AllDataApr[[#This Row],[Time]]&gt;=0.5)=TRUE, "Afternoon", IF(AND(AllDataApr[[#This Row],[Time]]&lt;1, AllDataApr[[#This Row],[Time]]&gt;=0.75)=TRUE, "Evening", "Night")))</f>
        <v>Morning</v>
      </c>
      <c r="G575" t="s">
        <v>150</v>
      </c>
      <c r="H575" t="str">
        <f>_xlfn.XLOOKUP(AllDataApr[[#This Row],[Location Name]], Locations[Row Labels],Locations[Group As])</f>
        <v>Stour Stretton-on-Fosse Sewage Works</v>
      </c>
      <c r="I575" t="str">
        <f>_xlfn.XLOOKUP(AllDataApr[[#This Row],[Site Name]],LocationsKey[Site Name],LocationsKey[Region])</f>
        <v>Shipston</v>
      </c>
      <c r="J575" t="str">
        <f>_xlfn.XLOOKUP(AllDataApr[[#This Row],[Site Name]],LocationsKey[Site Name], LocationsKey[Waterway])</f>
        <v>Stour</v>
      </c>
      <c r="K575" t="s">
        <v>151</v>
      </c>
      <c r="L575">
        <v>52.045679999999997</v>
      </c>
      <c r="M575">
        <v>-1.671869</v>
      </c>
      <c r="N575" t="s">
        <v>18</v>
      </c>
      <c r="O575">
        <v>677</v>
      </c>
      <c r="P575">
        <v>11.4</v>
      </c>
      <c r="Q575">
        <v>2</v>
      </c>
      <c r="R575" s="7" t="str">
        <f>IF(AllDataApr[[#This Row],[Nitrate (PPM)]]&gt;2, "Very high", IF(AllDataApr[[#This Row],[Nitrate (PPM)]]&gt;1, "High", IF(AllDataApr[[#This Row],[Nitrate (PPM)]]&gt;0.5, "Some evidence", IF(AllDataApr[[#This Row],[Nitrate (PPM)]]&gt;0, "No evidence", IF(AllDataApr[[#This Row],[Nitrate (PPM)]]=0, "")))))</f>
        <v>High</v>
      </c>
      <c r="S575">
        <v>2.5</v>
      </c>
      <c r="T575" s="7" t="str">
        <f>IF(AllDataApr[[#This Row],[Phosphate (PPM)]]&gt;0.5, "Very high", IF(AllDataApr[[#This Row],[Phosphate (PPM)]]&gt;0.1, "High", IF(AllDataApr[[#This Row],[Phosphate (PPM)]]&gt;0.05, "Some evidence", IF(AllDataApr[[#This Row],[Phosphate (PPM)]]=0, ""))))</f>
        <v>Very high</v>
      </c>
      <c r="U575">
        <v>0.3</v>
      </c>
    </row>
    <row r="576" spans="1:22" x14ac:dyDescent="0.3">
      <c r="A576" t="s">
        <v>331</v>
      </c>
      <c r="B576" s="2">
        <v>45390</v>
      </c>
      <c r="C576" s="2" t="str" cm="1">
        <f t="array" ref="C57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76">
        <f>YEAR(AllDataApr[[#This Row],[Date]])</f>
        <v>2024</v>
      </c>
      <c r="E576" s="1">
        <v>0.60416666666666663</v>
      </c>
      <c r="F576" s="2" t="str">
        <f>IF(AND(AllDataApr[[#This Row],[Time]]&lt;0.5, AllDataApr[[#This Row],[Time]]&gt;0.17)=TRUE, "Morning", IF(AND(AllDataApr[[#This Row],[Time]]&lt;0.75, AllDataApr[[#This Row],[Time]]&gt;=0.5)=TRUE, "Afternoon", IF(AND(AllDataApr[[#This Row],[Time]]&lt;1, AllDataApr[[#This Row],[Time]]&gt;=0.75)=TRUE, "Evening", "Night")))</f>
        <v>Afternoon</v>
      </c>
      <c r="G576" t="s">
        <v>129</v>
      </c>
      <c r="H576" t="str">
        <f>_xlfn.XLOOKUP(AllDataApr[[#This Row],[Location Name]], Locations[Row Labels],Locations[Group As])</f>
        <v>Swiffen Bank</v>
      </c>
      <c r="I576" t="str">
        <f>_xlfn.XLOOKUP(AllDataApr[[#This Row],[Site Name]],LocationsKey[Site Name],LocationsKey[Region])</f>
        <v>Stratford</v>
      </c>
      <c r="J576" t="str">
        <f>_xlfn.XLOOKUP(AllDataApr[[#This Row],[Site Name]],LocationsKey[Site Name], LocationsKey[Waterway])</f>
        <v>Avon</v>
      </c>
      <c r="K576" t="s">
        <v>130</v>
      </c>
      <c r="L576">
        <v>52.206477999999997</v>
      </c>
      <c r="M576">
        <v>-1.653894</v>
      </c>
      <c r="N576" t="s">
        <v>18</v>
      </c>
      <c r="O576">
        <v>562</v>
      </c>
      <c r="P576">
        <v>15.5</v>
      </c>
      <c r="Q576">
        <v>5</v>
      </c>
      <c r="R576" s="7" t="str">
        <f>IF(AllDataApr[[#This Row],[Nitrate (PPM)]]&gt;2, "Very high", IF(AllDataApr[[#This Row],[Nitrate (PPM)]]&gt;1, "High", IF(AllDataApr[[#This Row],[Nitrate (PPM)]]&gt;0.5, "Some evidence", IF(AllDataApr[[#This Row],[Nitrate (PPM)]]&gt;0, "No evidence", IF(AllDataApr[[#This Row],[Nitrate (PPM)]]=0, "")))))</f>
        <v>Very high</v>
      </c>
      <c r="S576">
        <v>0.49</v>
      </c>
      <c r="T576" s="7" t="str">
        <f>IF(AllDataApr[[#This Row],[Phosphate (PPM)]]&gt;0.5, "Very high", IF(AllDataApr[[#This Row],[Phosphate (PPM)]]&gt;0.1, "High", IF(AllDataApr[[#This Row],[Phosphate (PPM)]]&gt;0.05, "Some evidence", IF(AllDataApr[[#This Row],[Phosphate (PPM)]]=0, ""))))</f>
        <v>High</v>
      </c>
      <c r="U576">
        <v>0.5</v>
      </c>
      <c r="V576" t="s">
        <v>944</v>
      </c>
    </row>
    <row r="577" spans="1:22" x14ac:dyDescent="0.3">
      <c r="A577" t="s">
        <v>332</v>
      </c>
      <c r="B577" s="2">
        <v>45390</v>
      </c>
      <c r="C577" s="2" t="str" cm="1">
        <f t="array" ref="C57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77">
        <f>YEAR(AllDataApr[[#This Row],[Date]])</f>
        <v>2024</v>
      </c>
      <c r="E577" s="1">
        <v>0.625</v>
      </c>
      <c r="F577" s="2" t="str">
        <f>IF(AND(AllDataApr[[#This Row],[Time]]&lt;0.5, AllDataApr[[#This Row],[Time]]&gt;0.17)=TRUE, "Morning", IF(AND(AllDataApr[[#This Row],[Time]]&lt;0.75, AllDataApr[[#This Row],[Time]]&gt;=0.5)=TRUE, "Afternoon", IF(AND(AllDataApr[[#This Row],[Time]]&lt;1, AllDataApr[[#This Row],[Time]]&gt;=0.75)=TRUE, "Evening", "Night")))</f>
        <v>Afternoon</v>
      </c>
      <c r="G577" t="s">
        <v>139</v>
      </c>
      <c r="H577" t="str">
        <f>_xlfn.XLOOKUP(AllDataApr[[#This Row],[Location Name]], Locations[Row Labels],Locations[Group As])</f>
        <v>Alveston Weir</v>
      </c>
      <c r="I577" t="str">
        <f>_xlfn.XLOOKUP(AllDataApr[[#This Row],[Site Name]],LocationsKey[Site Name],LocationsKey[Region])</f>
        <v>Stratford</v>
      </c>
      <c r="J577" t="str">
        <f>_xlfn.XLOOKUP(AllDataApr[[#This Row],[Site Name]],LocationsKey[Site Name], LocationsKey[Waterway])</f>
        <v>Avon</v>
      </c>
      <c r="K577" t="s">
        <v>128</v>
      </c>
      <c r="L577">
        <v>52.212288999999998</v>
      </c>
      <c r="M577">
        <v>-1.660452</v>
      </c>
      <c r="N577" t="s">
        <v>18</v>
      </c>
      <c r="O577">
        <v>557</v>
      </c>
      <c r="P577">
        <v>13.6</v>
      </c>
      <c r="Q577">
        <v>5</v>
      </c>
      <c r="R577" s="7" t="str">
        <f>IF(AllDataApr[[#This Row],[Nitrate (PPM)]]&gt;2, "Very high", IF(AllDataApr[[#This Row],[Nitrate (PPM)]]&gt;1, "High", IF(AllDataApr[[#This Row],[Nitrate (PPM)]]&gt;0.5, "Some evidence", IF(AllDataApr[[#This Row],[Nitrate (PPM)]]&gt;0, "No evidence", IF(AllDataApr[[#This Row],[Nitrate (PPM)]]=0, "")))))</f>
        <v>Very high</v>
      </c>
      <c r="S577">
        <v>0.42</v>
      </c>
      <c r="T577" s="7" t="str">
        <f>IF(AllDataApr[[#This Row],[Phosphate (PPM)]]&gt;0.5, "Very high", IF(AllDataApr[[#This Row],[Phosphate (PPM)]]&gt;0.1, "High", IF(AllDataApr[[#This Row],[Phosphate (PPM)]]&gt;0.05, "Some evidence", IF(AllDataApr[[#This Row],[Phosphate (PPM)]]=0, ""))))</f>
        <v>High</v>
      </c>
      <c r="U577">
        <v>0</v>
      </c>
      <c r="V577" t="s">
        <v>945</v>
      </c>
    </row>
    <row r="578" spans="1:22" x14ac:dyDescent="0.3">
      <c r="A578" t="s">
        <v>1175</v>
      </c>
      <c r="B578" s="2">
        <v>45390</v>
      </c>
      <c r="C578" s="2" t="str" cm="1">
        <f t="array" ref="C57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78">
        <f>YEAR(AllDataApr[[#This Row],[Date]])</f>
        <v>2024</v>
      </c>
      <c r="E578" s="1">
        <v>0.73611111111111116</v>
      </c>
      <c r="F578" s="2" t="str">
        <f>IF(AND(AllDataApr[[#This Row],[Time]]&lt;0.5, AllDataApr[[#This Row],[Time]]&gt;0.17)=TRUE, "Morning", IF(AND(AllDataApr[[#This Row],[Time]]&lt;0.75, AllDataApr[[#This Row],[Time]]&gt;=0.5)=TRUE, "Afternoon", IF(AND(AllDataApr[[#This Row],[Time]]&lt;1, AllDataApr[[#This Row],[Time]]&gt;=0.75)=TRUE, "Evening", "Night")))</f>
        <v>Afternoon</v>
      </c>
      <c r="G578" t="s">
        <v>276</v>
      </c>
      <c r="H578" t="str">
        <f>_xlfn.XLOOKUP(AllDataApr[[#This Row],[Location Name]], Locations[Row Labels],Locations[Group As])</f>
        <v>Sherbourne Brook 1</v>
      </c>
      <c r="I578" t="str">
        <f>_xlfn.XLOOKUP(AllDataApr[[#This Row],[Site Name]],LocationsKey[Site Name],LocationsKey[Region])</f>
        <v>Stratford</v>
      </c>
      <c r="J578" t="str">
        <f>_xlfn.XLOOKUP(AllDataApr[[#This Row],[Site Name]],LocationsKey[Site Name], LocationsKey[Waterway])</f>
        <v>Sherbourne Brook</v>
      </c>
      <c r="K578" t="s">
        <v>280</v>
      </c>
      <c r="O578" s="177">
        <v>962</v>
      </c>
      <c r="P578">
        <v>12.6</v>
      </c>
      <c r="Q578" s="177">
        <v>5</v>
      </c>
      <c r="R578" s="7" t="str">
        <f>IF(AllDataApr[[#This Row],[Nitrate (PPM)]]&gt;2, "Very high", IF(AllDataApr[[#This Row],[Nitrate (PPM)]]&gt;1, "High", IF(AllDataApr[[#This Row],[Nitrate (PPM)]]&gt;0.5, "Some evidence", IF(AllDataApr[[#This Row],[Nitrate (PPM)]]&gt;0, "No evidence", IF(AllDataApr[[#This Row],[Nitrate (PPM)]]=0, "")))))</f>
        <v>Very high</v>
      </c>
      <c r="S578" s="177">
        <v>0.68</v>
      </c>
      <c r="T578" s="7" t="str">
        <f>IF(AllDataApr[[#This Row],[Phosphate (PPM)]]&gt;0.5, "Very high", IF(AllDataApr[[#This Row],[Phosphate (PPM)]]&gt;0.1, "High", IF(AllDataApr[[#This Row],[Phosphate (PPM)]]&gt;0.05, "Some evidence", IF(AllDataApr[[#This Row],[Phosphate (PPM)]]=0, ""))))</f>
        <v>Very high</v>
      </c>
      <c r="U578">
        <v>0.2</v>
      </c>
    </row>
    <row r="579" spans="1:22" x14ac:dyDescent="0.3">
      <c r="A579" t="s">
        <v>1174</v>
      </c>
      <c r="B579" s="2">
        <v>45390</v>
      </c>
      <c r="C579" s="2" t="str" cm="1">
        <f t="array" ref="C57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79">
        <f>YEAR(AllDataApr[[#This Row],[Date]])</f>
        <v>2024</v>
      </c>
      <c r="E579" s="1">
        <v>0.74305555555555558</v>
      </c>
      <c r="F579" s="2" t="str">
        <f>IF(AND(AllDataApr[[#This Row],[Time]]&lt;0.5, AllDataApr[[#This Row],[Time]]&gt;0.17)=TRUE, "Morning", IF(AND(AllDataApr[[#This Row],[Time]]&lt;0.75, AllDataApr[[#This Row],[Time]]&gt;=0.5)=TRUE, "Afternoon", IF(AND(AllDataApr[[#This Row],[Time]]&lt;1, AllDataApr[[#This Row],[Time]]&gt;=0.75)=TRUE, "Evening", "Night")))</f>
        <v>Afternoon</v>
      </c>
      <c r="G579" t="s">
        <v>276</v>
      </c>
      <c r="H579" t="str">
        <f>_xlfn.XLOOKUP(AllDataApr[[#This Row],[Location Name]], Locations[Row Labels],Locations[Group As])</f>
        <v>Bell Brook 1</v>
      </c>
      <c r="I579" t="str">
        <f>_xlfn.XLOOKUP(AllDataApr[[#This Row],[Site Name]],LocationsKey[Site Name],LocationsKey[Region])</f>
        <v>Stratford</v>
      </c>
      <c r="J579" t="str">
        <f>_xlfn.XLOOKUP(AllDataApr[[#This Row],[Site Name]],LocationsKey[Site Name], LocationsKey[Waterway])</f>
        <v>Bell Brook</v>
      </c>
      <c r="K579" t="s">
        <v>279</v>
      </c>
      <c r="O579" s="177">
        <v>643</v>
      </c>
      <c r="P579">
        <v>12.5</v>
      </c>
      <c r="Q579" s="177">
        <v>5</v>
      </c>
      <c r="R579" s="7" t="str">
        <f>IF(AllDataApr[[#This Row],[Nitrate (PPM)]]&gt;2, "Very high", IF(AllDataApr[[#This Row],[Nitrate (PPM)]]&gt;1, "High", IF(AllDataApr[[#This Row],[Nitrate (PPM)]]&gt;0.5, "Some evidence", IF(AllDataApr[[#This Row],[Nitrate (PPM)]]&gt;0, "No evidence", IF(AllDataApr[[#This Row],[Nitrate (PPM)]]=0, "")))))</f>
        <v>Very high</v>
      </c>
      <c r="S579" s="177">
        <v>0.12</v>
      </c>
      <c r="T579" s="7" t="str">
        <f>IF(AllDataApr[[#This Row],[Phosphate (PPM)]]&gt;0.5, "Very high", IF(AllDataApr[[#This Row],[Phosphate (PPM)]]&gt;0.1, "High", IF(AllDataApr[[#This Row],[Phosphate (PPM)]]&gt;0.05, "Some evidence", IF(AllDataApr[[#This Row],[Phosphate (PPM)]]=0, ""))))</f>
        <v>High</v>
      </c>
      <c r="U579">
        <v>0.2</v>
      </c>
    </row>
    <row r="580" spans="1:22" x14ac:dyDescent="0.3">
      <c r="A580" t="s">
        <v>328</v>
      </c>
      <c r="B580" s="2">
        <v>45391</v>
      </c>
      <c r="C580" s="2" t="str" cm="1">
        <f t="array" ref="C58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80">
        <f>YEAR(AllDataApr[[#This Row],[Date]])</f>
        <v>2024</v>
      </c>
      <c r="E580" s="1">
        <v>0.61250000000000004</v>
      </c>
      <c r="F580" s="2" t="str">
        <f>IF(AND(AllDataApr[[#This Row],[Time]]&lt;0.5, AllDataApr[[#This Row],[Time]]&gt;0.17)=TRUE, "Morning", IF(AND(AllDataApr[[#This Row],[Time]]&lt;0.75, AllDataApr[[#This Row],[Time]]&gt;=0.5)=TRUE, "Afternoon", IF(AND(AllDataApr[[#This Row],[Time]]&lt;1, AllDataApr[[#This Row],[Time]]&gt;=0.75)=TRUE, "Evening", "Night")))</f>
        <v>Afternoon</v>
      </c>
      <c r="G580" t="s">
        <v>274</v>
      </c>
      <c r="H580" t="str">
        <f>_xlfn.XLOOKUP(AllDataApr[[#This Row],[Location Name]], Locations[Row Labels],Locations[Group As])</f>
        <v>Abbey Mill</v>
      </c>
      <c r="I580" t="str">
        <f>_xlfn.XLOOKUP(AllDataApr[[#This Row],[Site Name]],LocationsKey[Site Name],LocationsKey[Region])</f>
        <v>Tewkesbury</v>
      </c>
      <c r="J580" t="str">
        <f>_xlfn.XLOOKUP(AllDataApr[[#This Row],[Site Name]],LocationsKey[Site Name], LocationsKey[Waterway])</f>
        <v>Avon</v>
      </c>
      <c r="K580" t="s">
        <v>13</v>
      </c>
      <c r="L580">
        <v>51.989916999999998</v>
      </c>
      <c r="M580">
        <v>-2.161635</v>
      </c>
      <c r="N580" t="s">
        <v>18</v>
      </c>
      <c r="O580">
        <v>682</v>
      </c>
      <c r="P580">
        <v>12.1</v>
      </c>
      <c r="Q580">
        <v>10</v>
      </c>
      <c r="R580" s="7" t="str">
        <f>IF(AllDataApr[[#This Row],[Nitrate (PPM)]]&gt;2, "Very high", IF(AllDataApr[[#This Row],[Nitrate (PPM)]]&gt;1, "High", IF(AllDataApr[[#This Row],[Nitrate (PPM)]]&gt;0.5, "Some evidence", IF(AllDataApr[[#This Row],[Nitrate (PPM)]]&gt;0, "No evidence", IF(AllDataApr[[#This Row],[Nitrate (PPM)]]=0, "")))))</f>
        <v>Very high</v>
      </c>
      <c r="S580">
        <v>0.5</v>
      </c>
      <c r="T580" s="7" t="str">
        <f>IF(AllDataApr[[#This Row],[Phosphate (PPM)]]&gt;0.5, "Very high", IF(AllDataApr[[#This Row],[Phosphate (PPM)]]&gt;0.1, "High", IF(AllDataApr[[#This Row],[Phosphate (PPM)]]&gt;0.05, "Some evidence", IF(AllDataApr[[#This Row],[Phosphate (PPM)]]=0, ""))))</f>
        <v>High</v>
      </c>
      <c r="U580">
        <v>2.5</v>
      </c>
      <c r="V580" t="s">
        <v>943</v>
      </c>
    </row>
    <row r="581" spans="1:22" x14ac:dyDescent="0.3">
      <c r="A581" t="s">
        <v>323</v>
      </c>
      <c r="B581" s="2">
        <v>45393</v>
      </c>
      <c r="C581" s="2" t="str" cm="1">
        <f t="array" ref="C58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81">
        <f>YEAR(AllDataApr[[#This Row],[Date]])</f>
        <v>2024</v>
      </c>
      <c r="E581" s="1">
        <v>0.4375</v>
      </c>
      <c r="F581" s="2" t="str">
        <f>IF(AND(AllDataApr[[#This Row],[Time]]&lt;0.5, AllDataApr[[#This Row],[Time]]&gt;0.17)=TRUE, "Morning", IF(AND(AllDataApr[[#This Row],[Time]]&lt;0.75, AllDataApr[[#This Row],[Time]]&gt;=0.5)=TRUE, "Afternoon", IF(AND(AllDataApr[[#This Row],[Time]]&lt;1, AllDataApr[[#This Row],[Time]]&gt;=0.75)=TRUE, "Evening", "Night")))</f>
        <v>Morning</v>
      </c>
      <c r="G581" t="s">
        <v>46</v>
      </c>
      <c r="H581" t="str">
        <f>_xlfn.XLOOKUP(AllDataApr[[#This Row],[Location Name]], Locations[Row Labels],Locations[Group As])</f>
        <v>Swilgate</v>
      </c>
      <c r="I581" t="str">
        <f>_xlfn.XLOOKUP(AllDataApr[[#This Row],[Site Name]],LocationsKey[Site Name],LocationsKey[Region])</f>
        <v>Tewkesbury</v>
      </c>
      <c r="J581" t="str">
        <f>_xlfn.XLOOKUP(AllDataApr[[#This Row],[Site Name]],LocationsKey[Site Name], LocationsKey[Waterway])</f>
        <v>Swilgate</v>
      </c>
      <c r="K581" t="s">
        <v>47</v>
      </c>
      <c r="N581" t="s">
        <v>200</v>
      </c>
      <c r="O581">
        <v>774</v>
      </c>
      <c r="P581">
        <v>13.2</v>
      </c>
      <c r="Q581">
        <v>3</v>
      </c>
      <c r="R581" s="7" t="str">
        <f>IF(AllDataApr[[#This Row],[Nitrate (PPM)]]&gt;2, "Very high", IF(AllDataApr[[#This Row],[Nitrate (PPM)]]&gt;1, "High", IF(AllDataApr[[#This Row],[Nitrate (PPM)]]&gt;0.5, "Some evidence", IF(AllDataApr[[#This Row],[Nitrate (PPM)]]&gt;0, "No evidence", IF(AllDataApr[[#This Row],[Nitrate (PPM)]]=0, "")))))</f>
        <v>Very high</v>
      </c>
      <c r="S581">
        <v>0.25</v>
      </c>
      <c r="T581" s="7" t="str">
        <f>IF(AllDataApr[[#This Row],[Phosphate (PPM)]]&gt;0.5, "Very high", IF(AllDataApr[[#This Row],[Phosphate (PPM)]]&gt;0.1, "High", IF(AllDataApr[[#This Row],[Phosphate (PPM)]]&gt;0.05, "Some evidence", IF(AllDataApr[[#This Row],[Phosphate (PPM)]]=0, ""))))</f>
        <v>High</v>
      </c>
      <c r="U581">
        <v>2</v>
      </c>
      <c r="V581" t="s">
        <v>122</v>
      </c>
    </row>
    <row r="582" spans="1:22" x14ac:dyDescent="0.3">
      <c r="A582" t="s">
        <v>304</v>
      </c>
      <c r="B582" s="2">
        <v>45393</v>
      </c>
      <c r="C582" s="2" t="str" cm="1">
        <f t="array" ref="C58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82">
        <f>YEAR(AllDataApr[[#This Row],[Date]])</f>
        <v>2024</v>
      </c>
      <c r="E582" s="1">
        <v>0.45833333333333331</v>
      </c>
      <c r="F582" s="2" t="str">
        <f>IF(AND(AllDataApr[[#This Row],[Time]]&lt;0.5, AllDataApr[[#This Row],[Time]]&gt;0.17)=TRUE, "Morning", IF(AND(AllDataApr[[#This Row],[Time]]&lt;0.75, AllDataApr[[#This Row],[Time]]&gt;=0.5)=TRUE, "Afternoon", IF(AND(AllDataApr[[#This Row],[Time]]&lt;1, AllDataApr[[#This Row],[Time]]&gt;=0.75)=TRUE, "Evening", "Night")))</f>
        <v>Morning</v>
      </c>
      <c r="G582" t="s">
        <v>220</v>
      </c>
      <c r="H582" t="str">
        <f>_xlfn.XLOOKUP(AllDataApr[[#This Row],[Location Name]], Locations[Row Labels],Locations[Group As])</f>
        <v>Stour Willington</v>
      </c>
      <c r="I582" t="str">
        <f>_xlfn.XLOOKUP(AllDataApr[[#This Row],[Site Name]],LocationsKey[Site Name],LocationsKey[Region])</f>
        <v>Shipston</v>
      </c>
      <c r="J582" t="str">
        <f>_xlfn.XLOOKUP(AllDataApr[[#This Row],[Site Name]],LocationsKey[Site Name], LocationsKey[Waterway])</f>
        <v>Stour</v>
      </c>
      <c r="K582" t="s">
        <v>197</v>
      </c>
      <c r="L582">
        <v>52.053567999999999</v>
      </c>
      <c r="M582">
        <v>-1.620152</v>
      </c>
      <c r="O582">
        <v>579</v>
      </c>
      <c r="P582">
        <v>14.1</v>
      </c>
      <c r="Q582">
        <v>2</v>
      </c>
      <c r="R582" s="7" t="str">
        <f>IF(AllDataApr[[#This Row],[Nitrate (PPM)]]&gt;2, "Very high", IF(AllDataApr[[#This Row],[Nitrate (PPM)]]&gt;1, "High", IF(AllDataApr[[#This Row],[Nitrate (PPM)]]&gt;0.5, "Some evidence", IF(AllDataApr[[#This Row],[Nitrate (PPM)]]&gt;0, "No evidence", IF(AllDataApr[[#This Row],[Nitrate (PPM)]]=0, "")))))</f>
        <v>High</v>
      </c>
      <c r="S582">
        <v>0.24</v>
      </c>
      <c r="T582" s="7" t="str">
        <f>IF(AllDataApr[[#This Row],[Phosphate (PPM)]]&gt;0.5, "Very high", IF(AllDataApr[[#This Row],[Phosphate (PPM)]]&gt;0.1, "High", IF(AllDataApr[[#This Row],[Phosphate (PPM)]]&gt;0.05, "Some evidence", IF(AllDataApr[[#This Row],[Phosphate (PPM)]]=0, ""))))</f>
        <v>High</v>
      </c>
      <c r="U582">
        <v>0.5</v>
      </c>
    </row>
    <row r="583" spans="1:22" x14ac:dyDescent="0.3">
      <c r="A583" t="s">
        <v>326</v>
      </c>
      <c r="B583" s="2">
        <v>45393</v>
      </c>
      <c r="C583" s="2" t="str" cm="1">
        <f t="array" ref="C58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83">
        <f>YEAR(AllDataApr[[#This Row],[Date]])</f>
        <v>2024</v>
      </c>
      <c r="E583" s="1">
        <v>0.54374999999999996</v>
      </c>
      <c r="F583" s="2" t="str">
        <f>IF(AND(AllDataApr[[#This Row],[Time]]&lt;0.5, AllDataApr[[#This Row],[Time]]&gt;0.17)=TRUE, "Morning", IF(AND(AllDataApr[[#This Row],[Time]]&lt;0.75, AllDataApr[[#This Row],[Time]]&gt;=0.5)=TRUE, "Afternoon", IF(AND(AllDataApr[[#This Row],[Time]]&lt;1, AllDataApr[[#This Row],[Time]]&gt;=0.75)=TRUE, "Evening", "Night")))</f>
        <v>Afternoon</v>
      </c>
      <c r="G583" t="s">
        <v>11</v>
      </c>
      <c r="H583" t="str">
        <f>_xlfn.XLOOKUP(AllDataApr[[#This Row],[Location Name]], Locations[Row Labels],Locations[Group As])</f>
        <v>Carrant Mitton Path</v>
      </c>
      <c r="I583" t="str">
        <f>_xlfn.XLOOKUP(AllDataApr[[#This Row],[Site Name]],LocationsKey[Site Name],LocationsKey[Region])</f>
        <v>Tewkesbury</v>
      </c>
      <c r="J583" t="str">
        <f>_xlfn.XLOOKUP(AllDataApr[[#This Row],[Site Name]],LocationsKey[Site Name], LocationsKey[Waterway])</f>
        <v>Carrant</v>
      </c>
      <c r="K583" t="s">
        <v>914</v>
      </c>
      <c r="L583">
        <v>51.999930999999997</v>
      </c>
      <c r="M583">
        <v>-2.1409120000000001</v>
      </c>
      <c r="N583" t="s">
        <v>200</v>
      </c>
      <c r="O583">
        <v>696</v>
      </c>
      <c r="P583">
        <v>14.6</v>
      </c>
      <c r="Q583">
        <v>6</v>
      </c>
      <c r="R583" s="7" t="str">
        <f>IF(AllDataApr[[#This Row],[Nitrate (PPM)]]&gt;2, "Very high", IF(AllDataApr[[#This Row],[Nitrate (PPM)]]&gt;1, "High", IF(AllDataApr[[#This Row],[Nitrate (PPM)]]&gt;0.5, "Some evidence", IF(AllDataApr[[#This Row],[Nitrate (PPM)]]&gt;0, "No evidence", IF(AllDataApr[[#This Row],[Nitrate (PPM)]]=0, "")))))</f>
        <v>Very high</v>
      </c>
      <c r="S583">
        <v>0.47</v>
      </c>
      <c r="T583" s="7" t="str">
        <f>IF(AllDataApr[[#This Row],[Phosphate (PPM)]]&gt;0.5, "Very high", IF(AllDataApr[[#This Row],[Phosphate (PPM)]]&gt;0.1, "High", IF(AllDataApr[[#This Row],[Phosphate (PPM)]]&gt;0.05, "Some evidence", IF(AllDataApr[[#This Row],[Phosphate (PPM)]]=0, ""))))</f>
        <v>High</v>
      </c>
      <c r="U583">
        <v>0.5</v>
      </c>
    </row>
    <row r="584" spans="1:22" x14ac:dyDescent="0.3">
      <c r="A584" t="s">
        <v>325</v>
      </c>
      <c r="B584" s="2">
        <v>45393</v>
      </c>
      <c r="C584" s="2" t="str" cm="1">
        <f t="array" ref="C58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84">
        <f>YEAR(AllDataApr[[#This Row],[Date]])</f>
        <v>2024</v>
      </c>
      <c r="E584" s="1">
        <v>0.56597222222222221</v>
      </c>
      <c r="F584" s="2" t="str">
        <f>IF(AND(AllDataApr[[#This Row],[Time]]&lt;0.5, AllDataApr[[#This Row],[Time]]&gt;0.17)=TRUE, "Morning", IF(AND(AllDataApr[[#This Row],[Time]]&lt;0.75, AllDataApr[[#This Row],[Time]]&gt;=0.5)=TRUE, "Afternoon", IF(AND(AllDataApr[[#This Row],[Time]]&lt;1, AllDataApr[[#This Row],[Time]]&gt;=0.75)=TRUE, "Evening", "Night")))</f>
        <v>Afternoon</v>
      </c>
      <c r="G584" t="s">
        <v>11</v>
      </c>
      <c r="H584" t="str">
        <f>_xlfn.XLOOKUP(AllDataApr[[#This Row],[Location Name]], Locations[Row Labels],Locations[Group As])</f>
        <v>Carrant M5 Bridge</v>
      </c>
      <c r="I584" t="str">
        <f>_xlfn.XLOOKUP(AllDataApr[[#This Row],[Site Name]],LocationsKey[Site Name],LocationsKey[Region])</f>
        <v>Tewkesbury</v>
      </c>
      <c r="J584" t="str">
        <f>_xlfn.XLOOKUP(AllDataApr[[#This Row],[Site Name]],LocationsKey[Site Name], LocationsKey[Waterway])</f>
        <v>Carrant</v>
      </c>
      <c r="K584" t="s">
        <v>913</v>
      </c>
      <c r="L584">
        <v>52.022495999999997</v>
      </c>
      <c r="M584">
        <v>-2.1379350000000001</v>
      </c>
      <c r="N584" t="s">
        <v>200</v>
      </c>
      <c r="O584">
        <v>715</v>
      </c>
      <c r="P584">
        <v>15.6</v>
      </c>
      <c r="Q584">
        <v>9</v>
      </c>
      <c r="R584" s="7" t="str">
        <f>IF(AllDataApr[[#This Row],[Nitrate (PPM)]]&gt;2, "Very high", IF(AllDataApr[[#This Row],[Nitrate (PPM)]]&gt;1, "High", IF(AllDataApr[[#This Row],[Nitrate (PPM)]]&gt;0.5, "Some evidence", IF(AllDataApr[[#This Row],[Nitrate (PPM)]]&gt;0, "No evidence", IF(AllDataApr[[#This Row],[Nitrate (PPM)]]=0, "")))))</f>
        <v>Very high</v>
      </c>
      <c r="S584">
        <v>0.3</v>
      </c>
      <c r="T584" s="7" t="str">
        <f>IF(AllDataApr[[#This Row],[Phosphate (PPM)]]&gt;0.5, "Very high", IF(AllDataApr[[#This Row],[Phosphate (PPM)]]&gt;0.1, "High", IF(AllDataApr[[#This Row],[Phosphate (PPM)]]&gt;0.05, "Some evidence", IF(AllDataApr[[#This Row],[Phosphate (PPM)]]=0, ""))))</f>
        <v>High</v>
      </c>
      <c r="U584">
        <v>0.5</v>
      </c>
    </row>
    <row r="585" spans="1:22" x14ac:dyDescent="0.3">
      <c r="A585" t="s">
        <v>324</v>
      </c>
      <c r="B585" s="2">
        <v>45393</v>
      </c>
      <c r="C585" s="2" t="str" cm="1">
        <f t="array" ref="C58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85">
        <f>YEAR(AllDataApr[[#This Row],[Date]])</f>
        <v>2024</v>
      </c>
      <c r="E585" s="1">
        <v>0.68125000000000002</v>
      </c>
      <c r="F585" s="2" t="str">
        <f>IF(AND(AllDataApr[[#This Row],[Time]]&lt;0.5, AllDataApr[[#This Row],[Time]]&gt;0.17)=TRUE, "Morning", IF(AND(AllDataApr[[#This Row],[Time]]&lt;0.75, AllDataApr[[#This Row],[Time]]&gt;=0.5)=TRUE, "Afternoon", IF(AND(AllDataApr[[#This Row],[Time]]&lt;1, AllDataApr[[#This Row],[Time]]&gt;=0.75)=TRUE, "Evening", "Night")))</f>
        <v>Afternoon</v>
      </c>
      <c r="G585" t="s">
        <v>59</v>
      </c>
      <c r="H585" t="str">
        <f>_xlfn.XLOOKUP(AllDataApr[[#This Row],[Location Name]], Locations[Row Labels],Locations[Group As])</f>
        <v>Preston-on-Stour River Bridge</v>
      </c>
      <c r="I585" t="str">
        <f>_xlfn.XLOOKUP(AllDataApr[[#This Row],[Site Name]],LocationsKey[Site Name],LocationsKey[Region])</f>
        <v>Stratford</v>
      </c>
      <c r="J585" t="str">
        <f>_xlfn.XLOOKUP(AllDataApr[[#This Row],[Site Name]],LocationsKey[Site Name], LocationsKey[Waterway])</f>
        <v>Stour</v>
      </c>
      <c r="K585" t="s">
        <v>78</v>
      </c>
      <c r="L585">
        <v>52.146439000000001</v>
      </c>
      <c r="M585">
        <v>-1.699913</v>
      </c>
      <c r="N585" t="s">
        <v>18</v>
      </c>
      <c r="O585">
        <v>605</v>
      </c>
      <c r="P585">
        <v>14</v>
      </c>
      <c r="Q585">
        <v>5</v>
      </c>
      <c r="R585" s="7" t="str">
        <f>IF(AllDataApr[[#This Row],[Nitrate (PPM)]]&gt;2, "Very high", IF(AllDataApr[[#This Row],[Nitrate (PPM)]]&gt;1, "High", IF(AllDataApr[[#This Row],[Nitrate (PPM)]]&gt;0.5, "Some evidence", IF(AllDataApr[[#This Row],[Nitrate (PPM)]]&gt;0, "No evidence", IF(AllDataApr[[#This Row],[Nitrate (PPM)]]=0, "")))))</f>
        <v>Very high</v>
      </c>
      <c r="S585">
        <v>0.24</v>
      </c>
      <c r="T585" s="7" t="str">
        <f>IF(AllDataApr[[#This Row],[Phosphate (PPM)]]&gt;0.5, "Very high", IF(AllDataApr[[#This Row],[Phosphate (PPM)]]&gt;0.1, "High", IF(AllDataApr[[#This Row],[Phosphate (PPM)]]&gt;0.05, "Some evidence", IF(AllDataApr[[#This Row],[Phosphate (PPM)]]=0, ""))))</f>
        <v>High</v>
      </c>
      <c r="U585">
        <v>1.5</v>
      </c>
    </row>
    <row r="586" spans="1:22" x14ac:dyDescent="0.3">
      <c r="A586" t="s">
        <v>321</v>
      </c>
      <c r="B586" s="2">
        <v>45395</v>
      </c>
      <c r="C586" s="2" t="str" cm="1">
        <f t="array" ref="C58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86">
        <f>YEAR(AllDataApr[[#This Row],[Date]])</f>
        <v>2024</v>
      </c>
      <c r="E586" s="1">
        <v>0.36388888888888887</v>
      </c>
      <c r="F586" s="2" t="str">
        <f>IF(AND(AllDataApr[[#This Row],[Time]]&lt;0.5, AllDataApr[[#This Row],[Time]]&gt;0.17)=TRUE, "Morning", IF(AND(AllDataApr[[#This Row],[Time]]&lt;0.75, AllDataApr[[#This Row],[Time]]&gt;=0.5)=TRUE, "Afternoon", IF(AND(AllDataApr[[#This Row],[Time]]&lt;1, AllDataApr[[#This Row],[Time]]&gt;=0.75)=TRUE, "Evening", "Night")))</f>
        <v>Morning</v>
      </c>
      <c r="G586" t="s">
        <v>901</v>
      </c>
      <c r="H586" t="str">
        <f>_xlfn.XLOOKUP(AllDataApr[[#This Row],[Location Name]], Locations[Row Labels],Locations[Group As])</f>
        <v>Stour Whichford</v>
      </c>
      <c r="I586" t="str">
        <f>_xlfn.XLOOKUP(AllDataApr[[#This Row],[Site Name]],LocationsKey[Site Name],LocationsKey[Region])</f>
        <v>Shipston</v>
      </c>
      <c r="J586" t="str">
        <f>_xlfn.XLOOKUP(AllDataApr[[#This Row],[Site Name]],LocationsKey[Site Name], LocationsKey[Waterway])</f>
        <v>Stour</v>
      </c>
      <c r="K586" t="s">
        <v>912</v>
      </c>
      <c r="N586" t="s">
        <v>18</v>
      </c>
      <c r="O586">
        <v>59.8</v>
      </c>
      <c r="P586">
        <v>12.08</v>
      </c>
      <c r="Q586">
        <v>2.0699999999999998</v>
      </c>
      <c r="R586" s="7" t="str">
        <f>IF(AllDataApr[[#This Row],[Nitrate (PPM)]]&gt;2, "Very high", IF(AllDataApr[[#This Row],[Nitrate (PPM)]]&gt;1, "High", IF(AllDataApr[[#This Row],[Nitrate (PPM)]]&gt;0.5, "Some evidence", IF(AllDataApr[[#This Row],[Nitrate (PPM)]]&gt;0, "No evidence", IF(AllDataApr[[#This Row],[Nitrate (PPM)]]=0, "")))))</f>
        <v>Very high</v>
      </c>
      <c r="S586">
        <v>0.48</v>
      </c>
      <c r="T586" s="7" t="str">
        <f>IF(AllDataApr[[#This Row],[Phosphate (PPM)]]&gt;0.5, "Very high", IF(AllDataApr[[#This Row],[Phosphate (PPM)]]&gt;0.1, "High", IF(AllDataApr[[#This Row],[Phosphate (PPM)]]&gt;0.05, "Some evidence", IF(AllDataApr[[#This Row],[Phosphate (PPM)]]=0, ""))))</f>
        <v>High</v>
      </c>
      <c r="U586">
        <v>20</v>
      </c>
    </row>
    <row r="587" spans="1:22" x14ac:dyDescent="0.3">
      <c r="A587" t="s">
        <v>322</v>
      </c>
      <c r="B587" s="2">
        <v>45395</v>
      </c>
      <c r="C587" s="2" t="str" cm="1">
        <f t="array" ref="C58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87">
        <f>YEAR(AllDataApr[[#This Row],[Date]])</f>
        <v>2024</v>
      </c>
      <c r="E587" s="1">
        <v>0.3659722222222222</v>
      </c>
      <c r="F587" s="2" t="str">
        <f>IF(AND(AllDataApr[[#This Row],[Time]]&lt;0.5, AllDataApr[[#This Row],[Time]]&gt;0.17)=TRUE, "Morning", IF(AND(AllDataApr[[#This Row],[Time]]&lt;0.75, AllDataApr[[#This Row],[Time]]&gt;=0.5)=TRUE, "Afternoon", IF(AND(AllDataApr[[#This Row],[Time]]&lt;1, AllDataApr[[#This Row],[Time]]&gt;=0.75)=TRUE, "Evening", "Night")))</f>
        <v>Morning</v>
      </c>
      <c r="G587" t="s">
        <v>221</v>
      </c>
      <c r="H587" t="str">
        <f>_xlfn.XLOOKUP(AllDataApr[[#This Row],[Location Name]], Locations[Row Labels],Locations[Group As])</f>
        <v>Lower Lode</v>
      </c>
      <c r="I587" t="str">
        <f>_xlfn.XLOOKUP(AllDataApr[[#This Row],[Site Name]],LocationsKey[Site Name],LocationsKey[Region])</f>
        <v>Tewkesbury</v>
      </c>
      <c r="J587" t="str">
        <f>_xlfn.XLOOKUP(AllDataApr[[#This Row],[Site Name]],LocationsKey[Site Name], LocationsKey[Waterway])</f>
        <v>Avon</v>
      </c>
      <c r="K587" t="s">
        <v>234</v>
      </c>
      <c r="N587" t="s">
        <v>18</v>
      </c>
      <c r="O587">
        <v>7020</v>
      </c>
      <c r="P587">
        <v>13.5</v>
      </c>
      <c r="Q587">
        <v>10</v>
      </c>
      <c r="R587" s="7" t="str">
        <f>IF(AllDataApr[[#This Row],[Nitrate (PPM)]]&gt;2, "Very high", IF(AllDataApr[[#This Row],[Nitrate (PPM)]]&gt;1, "High", IF(AllDataApr[[#This Row],[Nitrate (PPM)]]&gt;0.5, "Some evidence", IF(AllDataApr[[#This Row],[Nitrate (PPM)]]&gt;0, "No evidence", IF(AllDataApr[[#This Row],[Nitrate (PPM)]]=0, "")))))</f>
        <v>Very high</v>
      </c>
      <c r="S587">
        <v>0.4</v>
      </c>
      <c r="T587" s="7" t="str">
        <f>IF(AllDataApr[[#This Row],[Phosphate (PPM)]]&gt;0.5, "Very high", IF(AllDataApr[[#This Row],[Phosphate (PPM)]]&gt;0.1, "High", IF(AllDataApr[[#This Row],[Phosphate (PPM)]]&gt;0.05, "Some evidence", IF(AllDataApr[[#This Row],[Phosphate (PPM)]]=0, ""))))</f>
        <v>High</v>
      </c>
      <c r="U587">
        <v>2</v>
      </c>
    </row>
    <row r="588" spans="1:22" x14ac:dyDescent="0.3">
      <c r="A588" t="s">
        <v>320</v>
      </c>
      <c r="B588" s="2">
        <v>45395</v>
      </c>
      <c r="C588" s="2" t="str" cm="1">
        <f t="array" ref="C58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88">
        <f>YEAR(AllDataApr[[#This Row],[Date]])</f>
        <v>2024</v>
      </c>
      <c r="E588" s="1">
        <v>0.38472222222222224</v>
      </c>
      <c r="F588" s="2" t="str">
        <f>IF(AND(AllDataApr[[#This Row],[Time]]&lt;0.5, AllDataApr[[#This Row],[Time]]&gt;0.17)=TRUE, "Morning", IF(AND(AllDataApr[[#This Row],[Time]]&lt;0.75, AllDataApr[[#This Row],[Time]]&gt;=0.5)=TRUE, "Afternoon", IF(AND(AllDataApr[[#This Row],[Time]]&lt;1, AllDataApr[[#This Row],[Time]]&gt;=0.75)=TRUE, "Evening", "Night")))</f>
        <v>Morning</v>
      </c>
      <c r="G588" t="s">
        <v>901</v>
      </c>
      <c r="H588" t="str">
        <f>_xlfn.XLOOKUP(AllDataApr[[#This Row],[Location Name]], Locations[Row Labels],Locations[Group As])</f>
        <v>Stour Ascott Village</v>
      </c>
      <c r="I588" t="str">
        <f>_xlfn.XLOOKUP(AllDataApr[[#This Row],[Site Name]],LocationsKey[Site Name],LocationsKey[Region])</f>
        <v>Shipston</v>
      </c>
      <c r="J588" t="str">
        <f>_xlfn.XLOOKUP(AllDataApr[[#This Row],[Site Name]],LocationsKey[Site Name], LocationsKey[Waterway])</f>
        <v>Stour</v>
      </c>
      <c r="K588" t="s">
        <v>911</v>
      </c>
      <c r="N588" t="s">
        <v>42</v>
      </c>
      <c r="O588">
        <v>54.8</v>
      </c>
      <c r="P588">
        <v>12.6</v>
      </c>
      <c r="Q588">
        <v>0.01</v>
      </c>
      <c r="R588" s="7" t="str">
        <f>IF(AllDataApr[[#This Row],[Nitrate (PPM)]]&gt;2, "Very high", IF(AllDataApr[[#This Row],[Nitrate (PPM)]]&gt;1, "High", IF(AllDataApr[[#This Row],[Nitrate (PPM)]]&gt;0.5, "Some evidence", IF(AllDataApr[[#This Row],[Nitrate (PPM)]]&gt;0, "No evidence", IF(AllDataApr[[#This Row],[Nitrate (PPM)]]=0, "")))))</f>
        <v>No evidence</v>
      </c>
      <c r="S588">
        <v>0.21</v>
      </c>
      <c r="T588" s="7" t="str">
        <f>IF(AllDataApr[[#This Row],[Phosphate (PPM)]]&gt;0.5, "Very high", IF(AllDataApr[[#This Row],[Phosphate (PPM)]]&gt;0.1, "High", IF(AllDataApr[[#This Row],[Phosphate (PPM)]]&gt;0.05, "Some evidence", IF(AllDataApr[[#This Row],[Phosphate (PPM)]]=0, ""))))</f>
        <v>High</v>
      </c>
      <c r="U588">
        <v>13</v>
      </c>
    </row>
    <row r="589" spans="1:22" x14ac:dyDescent="0.3">
      <c r="A589" t="s">
        <v>319</v>
      </c>
      <c r="B589" s="2">
        <v>45395</v>
      </c>
      <c r="C589" s="2" t="str" cm="1">
        <f t="array" ref="C58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89">
        <f>YEAR(AllDataApr[[#This Row],[Date]])</f>
        <v>2024</v>
      </c>
      <c r="E589" s="1">
        <v>0.44374999999999998</v>
      </c>
      <c r="F589" s="2" t="str">
        <f>IF(AND(AllDataApr[[#This Row],[Time]]&lt;0.5, AllDataApr[[#This Row],[Time]]&gt;0.17)=TRUE, "Morning", IF(AND(AllDataApr[[#This Row],[Time]]&lt;0.75, AllDataApr[[#This Row],[Time]]&gt;=0.5)=TRUE, "Afternoon", IF(AND(AllDataApr[[#This Row],[Time]]&lt;1, AllDataApr[[#This Row],[Time]]&gt;=0.75)=TRUE, "Evening", "Night")))</f>
        <v>Morning</v>
      </c>
      <c r="G589" t="s">
        <v>38</v>
      </c>
      <c r="H589" t="str">
        <f>_xlfn.XLOOKUP(AllDataApr[[#This Row],[Location Name]], Locations[Row Labels],Locations[Group As])</f>
        <v>Pitch 16</v>
      </c>
      <c r="I589" t="str">
        <f>_xlfn.XLOOKUP(AllDataApr[[#This Row],[Site Name]],LocationsKey[Site Name],LocationsKey[Region])</f>
        <v>Stratford</v>
      </c>
      <c r="J589" t="str">
        <f>_xlfn.XLOOKUP(AllDataApr[[#This Row],[Site Name]],LocationsKey[Site Name], LocationsKey[Waterway])</f>
        <v>Avon</v>
      </c>
      <c r="K589" t="s">
        <v>39</v>
      </c>
      <c r="L589">
        <v>52.172607999999997</v>
      </c>
      <c r="M589">
        <v>-1.7454069999999999</v>
      </c>
      <c r="N589" t="s">
        <v>18</v>
      </c>
      <c r="O589">
        <v>790</v>
      </c>
      <c r="P589">
        <v>15.6</v>
      </c>
      <c r="Q589">
        <v>4</v>
      </c>
      <c r="R589" s="7" t="str">
        <f>IF(AllDataApr[[#This Row],[Nitrate (PPM)]]&gt;2, "Very high", IF(AllDataApr[[#This Row],[Nitrate (PPM)]]&gt;1, "High", IF(AllDataApr[[#This Row],[Nitrate (PPM)]]&gt;0.5, "Some evidence", IF(AllDataApr[[#This Row],[Nitrate (PPM)]]&gt;0, "No evidence", IF(AllDataApr[[#This Row],[Nitrate (PPM)]]=0, "")))))</f>
        <v>Very high</v>
      </c>
      <c r="S589">
        <v>0.72</v>
      </c>
      <c r="T589" s="7" t="str">
        <f>IF(AllDataApr[[#This Row],[Phosphate (PPM)]]&gt;0.5, "Very high", IF(AllDataApr[[#This Row],[Phosphate (PPM)]]&gt;0.1, "High", IF(AllDataApr[[#This Row],[Phosphate (PPM)]]&gt;0.05, "Some evidence", IF(AllDataApr[[#This Row],[Phosphate (PPM)]]=0, ""))))</f>
        <v>Very high</v>
      </c>
      <c r="U589">
        <v>0.8</v>
      </c>
      <c r="V589" t="s">
        <v>942</v>
      </c>
    </row>
    <row r="590" spans="1:22" x14ac:dyDescent="0.3">
      <c r="A590" t="s">
        <v>318</v>
      </c>
      <c r="B590" s="2">
        <v>45395</v>
      </c>
      <c r="C590" s="2" t="str" cm="1">
        <f t="array" ref="C59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90">
        <f>YEAR(AllDataApr[[#This Row],[Date]])</f>
        <v>2024</v>
      </c>
      <c r="E590" s="1">
        <v>0.4597222222222222</v>
      </c>
      <c r="F590" s="2" t="str">
        <f>IF(AND(AllDataApr[[#This Row],[Time]]&lt;0.5, AllDataApr[[#This Row],[Time]]&gt;0.17)=TRUE, "Morning", IF(AND(AllDataApr[[#This Row],[Time]]&lt;0.75, AllDataApr[[#This Row],[Time]]&gt;=0.5)=TRUE, "Afternoon", IF(AND(AllDataApr[[#This Row],[Time]]&lt;1, AllDataApr[[#This Row],[Time]]&gt;=0.75)=TRUE, "Evening", "Night")))</f>
        <v>Morning</v>
      </c>
      <c r="G590" t="s">
        <v>38</v>
      </c>
      <c r="H590" t="str">
        <f>_xlfn.XLOOKUP(AllDataApr[[#This Row],[Location Name]], Locations[Row Labels],Locations[Group As])</f>
        <v>Avonbank Drive</v>
      </c>
      <c r="I590" t="str">
        <f>_xlfn.XLOOKUP(AllDataApr[[#This Row],[Site Name]],LocationsKey[Site Name],LocationsKey[Region])</f>
        <v>Stratford</v>
      </c>
      <c r="J590" t="str">
        <f>_xlfn.XLOOKUP(AllDataApr[[#This Row],[Site Name]],LocationsKey[Site Name], LocationsKey[Waterway])</f>
        <v>Avon</v>
      </c>
      <c r="K590" t="s">
        <v>41</v>
      </c>
      <c r="L590">
        <v>52.177146999999998</v>
      </c>
      <c r="M590">
        <v>-1.7358070000000001</v>
      </c>
      <c r="N590" t="s">
        <v>42</v>
      </c>
      <c r="O590">
        <v>792</v>
      </c>
      <c r="P590">
        <v>15.8</v>
      </c>
      <c r="Q590">
        <v>7</v>
      </c>
      <c r="R590" s="7" t="str">
        <f>IF(AllDataApr[[#This Row],[Nitrate (PPM)]]&gt;2, "Very high", IF(AllDataApr[[#This Row],[Nitrate (PPM)]]&gt;1, "High", IF(AllDataApr[[#This Row],[Nitrate (PPM)]]&gt;0.5, "Some evidence", IF(AllDataApr[[#This Row],[Nitrate (PPM)]]&gt;0, "No evidence", IF(AllDataApr[[#This Row],[Nitrate (PPM)]]=0, "")))))</f>
        <v>Very high</v>
      </c>
      <c r="S590">
        <v>0.4</v>
      </c>
      <c r="T590" s="7" t="str">
        <f>IF(AllDataApr[[#This Row],[Phosphate (PPM)]]&gt;0.5, "Very high", IF(AllDataApr[[#This Row],[Phosphate (PPM)]]&gt;0.1, "High", IF(AllDataApr[[#This Row],[Phosphate (PPM)]]&gt;0.05, "Some evidence", IF(AllDataApr[[#This Row],[Phosphate (PPM)]]=0, ""))))</f>
        <v>High</v>
      </c>
      <c r="U590">
        <v>0.8</v>
      </c>
      <c r="V590" t="s">
        <v>941</v>
      </c>
    </row>
    <row r="591" spans="1:22" x14ac:dyDescent="0.3">
      <c r="A591" t="s">
        <v>315</v>
      </c>
      <c r="B591" s="2">
        <v>45395</v>
      </c>
      <c r="C591" s="2" t="str" cm="1">
        <f t="array" ref="C59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91">
        <f>YEAR(AllDataApr[[#This Row],[Date]])</f>
        <v>2024</v>
      </c>
      <c r="E591" s="1">
        <v>0.5</v>
      </c>
      <c r="F591" s="2" t="str">
        <f>IF(AND(AllDataApr[[#This Row],[Time]]&lt;0.5, AllDataApr[[#This Row],[Time]]&gt;0.17)=TRUE, "Morning", IF(AND(AllDataApr[[#This Row],[Time]]&lt;0.75, AllDataApr[[#This Row],[Time]]&gt;=0.5)=TRUE, "Afternoon", IF(AND(AllDataApr[[#This Row],[Time]]&lt;1, AllDataApr[[#This Row],[Time]]&gt;=0.75)=TRUE, "Evening", "Night")))</f>
        <v>Afternoon</v>
      </c>
      <c r="G591" t="s">
        <v>899</v>
      </c>
      <c r="H591" t="str">
        <f>_xlfn.XLOOKUP(AllDataApr[[#This Row],[Location Name]], Locations[Row Labels],Locations[Group As])</f>
        <v>Piddle Brook Wyre Piddle Bridge</v>
      </c>
      <c r="I591" t="str">
        <f>_xlfn.XLOOKUP(AllDataApr[[#This Row],[Site Name]],LocationsKey[Site Name],LocationsKey[Region])</f>
        <v>Pershore</v>
      </c>
      <c r="J591" t="str">
        <f>_xlfn.XLOOKUP(AllDataApr[[#This Row],[Site Name]],LocationsKey[Site Name], LocationsKey[Waterway])</f>
        <v>Piddle Brook</v>
      </c>
      <c r="K591" t="s">
        <v>908</v>
      </c>
      <c r="L591">
        <v>52.126404000000001</v>
      </c>
      <c r="M591">
        <v>-2.0565410000000002</v>
      </c>
      <c r="N591" t="s">
        <v>200</v>
      </c>
      <c r="O591">
        <v>1010</v>
      </c>
      <c r="P591">
        <v>13.1</v>
      </c>
      <c r="Q591">
        <v>5</v>
      </c>
      <c r="R591" s="7" t="str">
        <f>IF(AllDataApr[[#This Row],[Nitrate (PPM)]]&gt;2, "Very high", IF(AllDataApr[[#This Row],[Nitrate (PPM)]]&gt;1, "High", IF(AllDataApr[[#This Row],[Nitrate (PPM)]]&gt;0.5, "Some evidence", IF(AllDataApr[[#This Row],[Nitrate (PPM)]]&gt;0, "No evidence", IF(AllDataApr[[#This Row],[Nitrate (PPM)]]=0, "")))))</f>
        <v>Very high</v>
      </c>
      <c r="S591">
        <v>0.53</v>
      </c>
      <c r="T591" s="7" t="str">
        <f>IF(AllDataApr[[#This Row],[Phosphate (PPM)]]&gt;0.5, "Very high", IF(AllDataApr[[#This Row],[Phosphate (PPM)]]&gt;0.1, "High", IF(AllDataApr[[#This Row],[Phosphate (PPM)]]&gt;0.05, "Some evidence", IF(AllDataApr[[#This Row],[Phosphate (PPM)]]=0, ""))))</f>
        <v>Very high</v>
      </c>
      <c r="U591">
        <v>0.33</v>
      </c>
      <c r="V591" t="s">
        <v>938</v>
      </c>
    </row>
    <row r="592" spans="1:22" x14ac:dyDescent="0.3">
      <c r="A592" t="s">
        <v>316</v>
      </c>
      <c r="B592" s="2">
        <v>45395</v>
      </c>
      <c r="C592" s="2" t="str" cm="1">
        <f t="array" ref="C59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92">
        <f>YEAR(AllDataApr[[#This Row],[Date]])</f>
        <v>2024</v>
      </c>
      <c r="E592" s="1">
        <v>0.5</v>
      </c>
      <c r="F592" s="2" t="str">
        <f>IF(AND(AllDataApr[[#This Row],[Time]]&lt;0.5, AllDataApr[[#This Row],[Time]]&gt;0.17)=TRUE, "Morning", IF(AND(AllDataApr[[#This Row],[Time]]&lt;0.75, AllDataApr[[#This Row],[Time]]&gt;=0.5)=TRUE, "Afternoon", IF(AND(AllDataApr[[#This Row],[Time]]&lt;1, AllDataApr[[#This Row],[Time]]&gt;=0.75)=TRUE, "Evening", "Night")))</f>
        <v>Afternoon</v>
      </c>
      <c r="G592" t="s">
        <v>899</v>
      </c>
      <c r="H592" t="str">
        <f>_xlfn.XLOOKUP(AllDataApr[[#This Row],[Location Name]], Locations[Row Labels],Locations[Group As])</f>
        <v>Avon Smiths Meadow Wyre Piddle</v>
      </c>
      <c r="I592" t="str">
        <f>_xlfn.XLOOKUP(AllDataApr[[#This Row],[Site Name]],LocationsKey[Site Name],LocationsKey[Region])</f>
        <v>Pershore</v>
      </c>
      <c r="J592" t="str">
        <f>_xlfn.XLOOKUP(AllDataApr[[#This Row],[Site Name]],LocationsKey[Site Name], LocationsKey[Waterway])</f>
        <v>Avon</v>
      </c>
      <c r="K592" t="s">
        <v>909</v>
      </c>
      <c r="L592">
        <v>52.122858999999998</v>
      </c>
      <c r="M592">
        <v>-2.0575389999999998</v>
      </c>
      <c r="N592" t="s">
        <v>200</v>
      </c>
      <c r="O592">
        <v>743</v>
      </c>
      <c r="P592">
        <v>7.3</v>
      </c>
      <c r="Q592">
        <v>5</v>
      </c>
      <c r="R592" s="7" t="str">
        <f>IF(AllDataApr[[#This Row],[Nitrate (PPM)]]&gt;2, "Very high", IF(AllDataApr[[#This Row],[Nitrate (PPM)]]&gt;1, "High", IF(AllDataApr[[#This Row],[Nitrate (PPM)]]&gt;0.5, "Some evidence", IF(AllDataApr[[#This Row],[Nitrate (PPM)]]&gt;0, "No evidence", IF(AllDataApr[[#This Row],[Nitrate (PPM)]]=0, "")))))</f>
        <v>Very high</v>
      </c>
      <c r="S592">
        <v>0.37</v>
      </c>
      <c r="T592" s="7" t="str">
        <f>IF(AllDataApr[[#This Row],[Phosphate (PPM)]]&gt;0.5, "Very high", IF(AllDataApr[[#This Row],[Phosphate (PPM)]]&gt;0.1, "High", IF(AllDataApr[[#This Row],[Phosphate (PPM)]]&gt;0.05, "Some evidence", IF(AllDataApr[[#This Row],[Phosphate (PPM)]]=0, ""))))</f>
        <v>High</v>
      </c>
      <c r="U592">
        <v>0.84</v>
      </c>
      <c r="V592" t="s">
        <v>939</v>
      </c>
    </row>
    <row r="593" spans="1:22" x14ac:dyDescent="0.3">
      <c r="A593" t="s">
        <v>312</v>
      </c>
      <c r="B593" s="2">
        <v>45395</v>
      </c>
      <c r="C593" s="2" t="str" cm="1">
        <f t="array" ref="C59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93">
        <f>YEAR(AllDataApr[[#This Row],[Date]])</f>
        <v>2024</v>
      </c>
      <c r="E593" s="1">
        <v>0.52083333333333337</v>
      </c>
      <c r="F593" s="2" t="str">
        <f>IF(AND(AllDataApr[[#This Row],[Time]]&lt;0.5, AllDataApr[[#This Row],[Time]]&gt;0.17)=TRUE, "Morning", IF(AND(AllDataApr[[#This Row],[Time]]&lt;0.75, AllDataApr[[#This Row],[Time]]&gt;=0.5)=TRUE, "Afternoon", IF(AND(AllDataApr[[#This Row],[Time]]&lt;1, AllDataApr[[#This Row],[Time]]&gt;=0.75)=TRUE, "Evening", "Night")))</f>
        <v>Afternoon</v>
      </c>
      <c r="G593" t="s">
        <v>52</v>
      </c>
      <c r="H593" t="str">
        <f>_xlfn.XLOOKUP(AllDataApr[[#This Row],[Location Name]], Locations[Row Labels],Locations[Group As])</f>
        <v>Carrant Bredon Rd</v>
      </c>
      <c r="I593" t="str">
        <f>_xlfn.XLOOKUP(AllDataApr[[#This Row],[Site Name]],LocationsKey[Site Name],LocationsKey[Region])</f>
        <v>Tewkesbury</v>
      </c>
      <c r="J593" t="str">
        <f>_xlfn.XLOOKUP(AllDataApr[[#This Row],[Site Name]],LocationsKey[Site Name], LocationsKey[Waterway])</f>
        <v>Carrant</v>
      </c>
      <c r="K593" t="s">
        <v>179</v>
      </c>
      <c r="L593">
        <v>51.996319</v>
      </c>
      <c r="M593">
        <v>-2.156094</v>
      </c>
      <c r="N593" t="s">
        <v>200</v>
      </c>
      <c r="O593">
        <v>753</v>
      </c>
      <c r="P593">
        <v>14.3</v>
      </c>
      <c r="Q593">
        <v>5</v>
      </c>
      <c r="R593" s="7" t="str">
        <f>IF(AllDataApr[[#This Row],[Nitrate (PPM)]]&gt;2, "Very high", IF(AllDataApr[[#This Row],[Nitrate (PPM)]]&gt;1, "High", IF(AllDataApr[[#This Row],[Nitrate (PPM)]]&gt;0.5, "Some evidence", IF(AllDataApr[[#This Row],[Nitrate (PPM)]]&gt;0, "No evidence", IF(AllDataApr[[#This Row],[Nitrate (PPM)]]=0, "")))))</f>
        <v>Very high</v>
      </c>
      <c r="S593">
        <v>0.32</v>
      </c>
      <c r="T593" s="7" t="str">
        <f>IF(AllDataApr[[#This Row],[Phosphate (PPM)]]&gt;0.5, "Very high", IF(AllDataApr[[#This Row],[Phosphate (PPM)]]&gt;0.1, "High", IF(AllDataApr[[#This Row],[Phosphate (PPM)]]&gt;0.05, "Some evidence", IF(AllDataApr[[#This Row],[Phosphate (PPM)]]=0, ""))))</f>
        <v>High</v>
      </c>
      <c r="U593">
        <v>0.43</v>
      </c>
    </row>
    <row r="594" spans="1:22" x14ac:dyDescent="0.3">
      <c r="A594" t="s">
        <v>317</v>
      </c>
      <c r="B594" s="2">
        <v>45395</v>
      </c>
      <c r="C594" s="2" t="str" cm="1">
        <f t="array" ref="C59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94">
        <f>YEAR(AllDataApr[[#This Row],[Date]])</f>
        <v>2024</v>
      </c>
      <c r="E594" s="1">
        <v>0.64583333333333337</v>
      </c>
      <c r="F594" s="2" t="str">
        <f>IF(AND(AllDataApr[[#This Row],[Time]]&lt;0.5, AllDataApr[[#This Row],[Time]]&gt;0.17)=TRUE, "Morning", IF(AND(AllDataApr[[#This Row],[Time]]&lt;0.75, AllDataApr[[#This Row],[Time]]&gt;=0.5)=TRUE, "Afternoon", IF(AND(AllDataApr[[#This Row],[Time]]&lt;1, AllDataApr[[#This Row],[Time]]&gt;=0.75)=TRUE, "Evening", "Night")))</f>
        <v>Afternoon</v>
      </c>
      <c r="G594" t="s">
        <v>900</v>
      </c>
      <c r="H594" t="str">
        <f>_xlfn.XLOOKUP(AllDataApr[[#This Row],[Location Name]], Locations[Row Labels],Locations[Group As])</f>
        <v>Fell Mill Footbridge</v>
      </c>
      <c r="I594" t="str">
        <f>_xlfn.XLOOKUP(AllDataApr[[#This Row],[Site Name]],LocationsKey[Site Name],LocationsKey[Region])</f>
        <v>Shipston</v>
      </c>
      <c r="J594" t="str">
        <f>_xlfn.XLOOKUP(AllDataApr[[#This Row],[Site Name]],LocationsKey[Site Name], LocationsKey[Waterway])</f>
        <v>Stour</v>
      </c>
      <c r="K594" t="s">
        <v>910</v>
      </c>
      <c r="N594" t="s">
        <v>18</v>
      </c>
      <c r="O594">
        <v>586</v>
      </c>
      <c r="P594">
        <v>14.4</v>
      </c>
      <c r="Q594">
        <v>10</v>
      </c>
      <c r="R594" s="7" t="str">
        <f>IF(AllDataApr[[#This Row],[Nitrate (PPM)]]&gt;2, "Very high", IF(AllDataApr[[#This Row],[Nitrate (PPM)]]&gt;1, "High", IF(AllDataApr[[#This Row],[Nitrate (PPM)]]&gt;0.5, "Some evidence", IF(AllDataApr[[#This Row],[Nitrate (PPM)]]&gt;0, "No evidence", IF(AllDataApr[[#This Row],[Nitrate (PPM)]]=0, "")))))</f>
        <v>Very high</v>
      </c>
      <c r="S594">
        <v>0.18</v>
      </c>
      <c r="T594" s="7" t="str">
        <f>IF(AllDataApr[[#This Row],[Phosphate (PPM)]]&gt;0.5, "Very high", IF(AllDataApr[[#This Row],[Phosphate (PPM)]]&gt;0.1, "High", IF(AllDataApr[[#This Row],[Phosphate (PPM)]]&gt;0.05, "Some evidence", IF(AllDataApr[[#This Row],[Phosphate (PPM)]]=0, ""))))</f>
        <v>High</v>
      </c>
      <c r="U594">
        <v>1.5</v>
      </c>
      <c r="V594" t="s">
        <v>940</v>
      </c>
    </row>
    <row r="595" spans="1:22" x14ac:dyDescent="0.3">
      <c r="A595" t="s">
        <v>1252</v>
      </c>
      <c r="B595" s="2">
        <v>45395</v>
      </c>
      <c r="C595" s="2" t="str" cm="1">
        <f t="array" ref="C59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95">
        <f>YEAR(AllDataApr[[#This Row],[Date]])</f>
        <v>2024</v>
      </c>
      <c r="E595" s="1">
        <v>0.75277777777777777</v>
      </c>
      <c r="F595" s="2" t="str">
        <f>IF(AND(AllDataApr[[#This Row],[Time]]&lt;0.5, AllDataApr[[#This Row],[Time]]&gt;0.17)=TRUE, "Morning", IF(AND(AllDataApr[[#This Row],[Time]]&lt;0.75, AllDataApr[[#This Row],[Time]]&gt;=0.5)=TRUE, "Afternoon", IF(AND(AllDataApr[[#This Row],[Time]]&lt;1, AllDataApr[[#This Row],[Time]]&gt;=0.75)=TRUE, "Evening", "Night")))</f>
        <v>Evening</v>
      </c>
      <c r="G595" t="s">
        <v>903</v>
      </c>
      <c r="H595" t="str">
        <f>_xlfn.XLOOKUP(AllDataApr[[#This Row],[Location Name]], Locations[Row Labels],Locations[Group As])</f>
        <v>Walcot Lane, Bow Brook Ford</v>
      </c>
      <c r="I595" t="str">
        <f>_xlfn.XLOOKUP(AllDataApr[[#This Row],[Site Name]],LocationsKey[Site Name],LocationsKey[Region])</f>
        <v>Pershore</v>
      </c>
      <c r="J595" t="str">
        <f>_xlfn.XLOOKUP(AllDataApr[[#This Row],[Site Name]],LocationsKey[Site Name], LocationsKey[Waterway])</f>
        <v>Bow Brook</v>
      </c>
      <c r="K595" t="s">
        <v>915</v>
      </c>
      <c r="L595">
        <v>52.130450000000003</v>
      </c>
      <c r="M595">
        <v>-2.0786319999999998</v>
      </c>
      <c r="N595" t="s">
        <v>283</v>
      </c>
      <c r="O595" s="177">
        <v>872</v>
      </c>
      <c r="P595">
        <v>15.7</v>
      </c>
      <c r="Q595" s="177">
        <v>5</v>
      </c>
      <c r="R595" s="7" t="str">
        <f>IF(AllDataApr[[#This Row],[Nitrate (PPM)]]&gt;2, "Very high", IF(AllDataApr[[#This Row],[Nitrate (PPM)]]&gt;1, "High", IF(AllDataApr[[#This Row],[Nitrate (PPM)]]&gt;0.5, "Some evidence", IF(AllDataApr[[#This Row],[Nitrate (PPM)]]&gt;0, "No evidence", IF(AllDataApr[[#This Row],[Nitrate (PPM)]]=0, "")))))</f>
        <v>Very high</v>
      </c>
      <c r="S595" s="177">
        <v>0.92</v>
      </c>
      <c r="T595" s="7" t="str">
        <f>IF(AllDataApr[[#This Row],[Phosphate (PPM)]]&gt;0.5, "Very high", IF(AllDataApr[[#This Row],[Phosphate (PPM)]]&gt;0.1, "High", IF(AllDataApr[[#This Row],[Phosphate (PPM)]]&gt;0.05, "Some evidence", IF(AllDataApr[[#This Row],[Phosphate (PPM)]]=0, ""))))</f>
        <v>Very high</v>
      </c>
      <c r="U595">
        <v>0.5</v>
      </c>
      <c r="V595" t="s">
        <v>1310</v>
      </c>
    </row>
    <row r="596" spans="1:22" x14ac:dyDescent="0.3">
      <c r="A596" t="s">
        <v>311</v>
      </c>
      <c r="B596" s="2">
        <v>45396</v>
      </c>
      <c r="C596" s="2" t="str" cm="1">
        <f t="array" ref="C59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96">
        <f>YEAR(AllDataApr[[#This Row],[Date]])</f>
        <v>2024</v>
      </c>
      <c r="E596" s="1">
        <v>0.68888888888888888</v>
      </c>
      <c r="F596" s="2" t="str">
        <f>IF(AND(AllDataApr[[#This Row],[Time]]&lt;0.5, AllDataApr[[#This Row],[Time]]&gt;0.17)=TRUE, "Morning", IF(AND(AllDataApr[[#This Row],[Time]]&lt;0.75, AllDataApr[[#This Row],[Time]]&gt;=0.5)=TRUE, "Afternoon", IF(AND(AllDataApr[[#This Row],[Time]]&lt;1, AllDataApr[[#This Row],[Time]]&gt;=0.75)=TRUE, "Evening", "Night")))</f>
        <v>Afternoon</v>
      </c>
      <c r="G596" t="s">
        <v>11</v>
      </c>
      <c r="H596" t="str">
        <f>_xlfn.XLOOKUP(AllDataApr[[#This Row],[Location Name]], Locations[Row Labels],Locations[Group As])</f>
        <v>Black Bear</v>
      </c>
      <c r="I596" t="str">
        <f>_xlfn.XLOOKUP(AllDataApr[[#This Row],[Site Name]],LocationsKey[Site Name],LocationsKey[Region])</f>
        <v>Tewkesbury</v>
      </c>
      <c r="J596" t="str">
        <f>_xlfn.XLOOKUP(AllDataApr[[#This Row],[Site Name]],LocationsKey[Site Name], LocationsKey[Waterway])</f>
        <v>Avon</v>
      </c>
      <c r="K596" t="s">
        <v>231</v>
      </c>
      <c r="L596">
        <v>51.997185000000002</v>
      </c>
      <c r="M596">
        <v>-2.155983</v>
      </c>
      <c r="N596" t="s">
        <v>200</v>
      </c>
      <c r="O596">
        <v>765</v>
      </c>
      <c r="P596">
        <v>14.1</v>
      </c>
      <c r="Q596">
        <v>5</v>
      </c>
      <c r="R596" s="7" t="str">
        <f>IF(AllDataApr[[#This Row],[Nitrate (PPM)]]&gt;2, "Very high", IF(AllDataApr[[#This Row],[Nitrate (PPM)]]&gt;1, "High", IF(AllDataApr[[#This Row],[Nitrate (PPM)]]&gt;0.5, "Some evidence", IF(AllDataApr[[#This Row],[Nitrate (PPM)]]&gt;0, "No evidence", IF(AllDataApr[[#This Row],[Nitrate (PPM)]]=0, "")))))</f>
        <v>Very high</v>
      </c>
      <c r="S596">
        <v>0.92</v>
      </c>
      <c r="T596" s="7" t="str">
        <f>IF(AllDataApr[[#This Row],[Phosphate (PPM)]]&gt;0.5, "Very high", IF(AllDataApr[[#This Row],[Phosphate (PPM)]]&gt;0.1, "High", IF(AllDataApr[[#This Row],[Phosphate (PPM)]]&gt;0.05, "Some evidence", IF(AllDataApr[[#This Row],[Phosphate (PPM)]]=0, ""))))</f>
        <v>Very high</v>
      </c>
      <c r="U596">
        <v>0</v>
      </c>
    </row>
    <row r="597" spans="1:22" x14ac:dyDescent="0.3">
      <c r="A597" t="s">
        <v>1173</v>
      </c>
      <c r="B597" s="2">
        <v>45396</v>
      </c>
      <c r="C597" s="2" t="str" cm="1">
        <f t="array" ref="C59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97">
        <f>YEAR(AllDataApr[[#This Row],[Date]])</f>
        <v>2024</v>
      </c>
      <c r="E597" s="1">
        <v>0.72916666666666663</v>
      </c>
      <c r="F597" s="2" t="str">
        <f>IF(AND(AllDataApr[[#This Row],[Time]]&lt;0.5, AllDataApr[[#This Row],[Time]]&gt;0.17)=TRUE, "Morning", IF(AND(AllDataApr[[#This Row],[Time]]&lt;0.75, AllDataApr[[#This Row],[Time]]&gt;=0.5)=TRUE, "Afternoon", IF(AND(AllDataApr[[#This Row],[Time]]&lt;1, AllDataApr[[#This Row],[Time]]&gt;=0.75)=TRUE, "Evening", "Night")))</f>
        <v>Afternoon</v>
      </c>
      <c r="G597" t="s">
        <v>275</v>
      </c>
      <c r="H597" t="str">
        <f>_xlfn.XLOOKUP(AllDataApr[[#This Row],[Location Name]], Locations[Row Labels],Locations[Group As])</f>
        <v>Sherbourne Brook 1</v>
      </c>
      <c r="I597" t="str">
        <f>_xlfn.XLOOKUP(AllDataApr[[#This Row],[Site Name]],LocationsKey[Site Name],LocationsKey[Region])</f>
        <v>Stratford</v>
      </c>
      <c r="J597" t="str">
        <f>_xlfn.XLOOKUP(AllDataApr[[#This Row],[Site Name]],LocationsKey[Site Name], LocationsKey[Waterway])</f>
        <v>Sherbourne Brook</v>
      </c>
      <c r="K597" t="s">
        <v>280</v>
      </c>
      <c r="O597" s="177">
        <v>1040</v>
      </c>
      <c r="P597">
        <v>12.2</v>
      </c>
      <c r="Q597" s="177">
        <v>5</v>
      </c>
      <c r="R597" s="7" t="str">
        <f>IF(AllDataApr[[#This Row],[Nitrate (PPM)]]&gt;2, "Very high", IF(AllDataApr[[#This Row],[Nitrate (PPM)]]&gt;1, "High", IF(AllDataApr[[#This Row],[Nitrate (PPM)]]&gt;0.5, "Some evidence", IF(AllDataApr[[#This Row],[Nitrate (PPM)]]&gt;0, "No evidence", IF(AllDataApr[[#This Row],[Nitrate (PPM)]]=0, "")))))</f>
        <v>Very high</v>
      </c>
      <c r="S597" s="177">
        <v>0.62</v>
      </c>
      <c r="T597" s="7" t="str">
        <f>IF(AllDataApr[[#This Row],[Phosphate (PPM)]]&gt;0.5, "Very high", IF(AllDataApr[[#This Row],[Phosphate (PPM)]]&gt;0.1, "High", IF(AllDataApr[[#This Row],[Phosphate (PPM)]]&gt;0.05, "Some evidence", IF(AllDataApr[[#This Row],[Phosphate (PPM)]]=0, ""))))</f>
        <v>Very high</v>
      </c>
      <c r="U597">
        <v>0.3</v>
      </c>
    </row>
    <row r="598" spans="1:22" x14ac:dyDescent="0.3">
      <c r="A598" t="s">
        <v>1172</v>
      </c>
      <c r="B598" s="2">
        <v>45396</v>
      </c>
      <c r="C598" s="2" t="str" cm="1">
        <f t="array" ref="C59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98">
        <f>YEAR(AllDataApr[[#This Row],[Date]])</f>
        <v>2024</v>
      </c>
      <c r="E598" s="1">
        <v>0.73958333333333337</v>
      </c>
      <c r="F598" s="2" t="str">
        <f>IF(AND(AllDataApr[[#This Row],[Time]]&lt;0.5, AllDataApr[[#This Row],[Time]]&gt;0.17)=TRUE, "Morning", IF(AND(AllDataApr[[#This Row],[Time]]&lt;0.75, AllDataApr[[#This Row],[Time]]&gt;=0.5)=TRUE, "Afternoon", IF(AND(AllDataApr[[#This Row],[Time]]&lt;1, AllDataApr[[#This Row],[Time]]&gt;=0.75)=TRUE, "Evening", "Night")))</f>
        <v>Afternoon</v>
      </c>
      <c r="G598" t="s">
        <v>275</v>
      </c>
      <c r="H598" t="str">
        <f>_xlfn.XLOOKUP(AllDataApr[[#This Row],[Location Name]], Locations[Row Labels],Locations[Group As])</f>
        <v>Bell Brook 1</v>
      </c>
      <c r="I598" t="str">
        <f>_xlfn.XLOOKUP(AllDataApr[[#This Row],[Site Name]],LocationsKey[Site Name],LocationsKey[Region])</f>
        <v>Stratford</v>
      </c>
      <c r="J598" t="str">
        <f>_xlfn.XLOOKUP(AllDataApr[[#This Row],[Site Name]],LocationsKey[Site Name], LocationsKey[Waterway])</f>
        <v>Bell Brook</v>
      </c>
      <c r="K598" t="s">
        <v>279</v>
      </c>
      <c r="O598" s="177">
        <v>690</v>
      </c>
      <c r="P598">
        <v>13.1</v>
      </c>
      <c r="Q598" s="177">
        <v>4</v>
      </c>
      <c r="R598" s="7" t="str">
        <f>IF(AllDataApr[[#This Row],[Nitrate (PPM)]]&gt;2, "Very high", IF(AllDataApr[[#This Row],[Nitrate (PPM)]]&gt;1, "High", IF(AllDataApr[[#This Row],[Nitrate (PPM)]]&gt;0.5, "Some evidence", IF(AllDataApr[[#This Row],[Nitrate (PPM)]]&gt;0, "No evidence", IF(AllDataApr[[#This Row],[Nitrate (PPM)]]=0, "")))))</f>
        <v>Very high</v>
      </c>
      <c r="S598" s="177">
        <v>0.5</v>
      </c>
      <c r="T598" s="7" t="str">
        <f>IF(AllDataApr[[#This Row],[Phosphate (PPM)]]&gt;0.5, "Very high", IF(AllDataApr[[#This Row],[Phosphate (PPM)]]&gt;0.1, "High", IF(AllDataApr[[#This Row],[Phosphate (PPM)]]&gt;0.05, "Some evidence", IF(AllDataApr[[#This Row],[Phosphate (PPM)]]=0, ""))))</f>
        <v>High</v>
      </c>
      <c r="U598">
        <v>0.1</v>
      </c>
    </row>
    <row r="599" spans="1:22" x14ac:dyDescent="0.3">
      <c r="A599" t="s">
        <v>1251</v>
      </c>
      <c r="B599" s="2">
        <v>45396</v>
      </c>
      <c r="C599" s="2" t="str" cm="1">
        <f t="array" ref="C59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599">
        <f>YEAR(AllDataApr[[#This Row],[Date]])</f>
        <v>2024</v>
      </c>
      <c r="E599" s="1">
        <v>0.76111111111111107</v>
      </c>
      <c r="F599" s="2" t="str">
        <f>IF(AND(AllDataApr[[#This Row],[Time]]&lt;0.5, AllDataApr[[#This Row],[Time]]&gt;0.17)=TRUE, "Morning", IF(AND(AllDataApr[[#This Row],[Time]]&lt;0.75, AllDataApr[[#This Row],[Time]]&gt;=0.5)=TRUE, "Afternoon", IF(AND(AllDataApr[[#This Row],[Time]]&lt;1, AllDataApr[[#This Row],[Time]]&gt;=0.75)=TRUE, "Evening", "Night")))</f>
        <v>Evening</v>
      </c>
      <c r="G599" t="s">
        <v>222</v>
      </c>
      <c r="H599" t="str">
        <f>_xlfn.XLOOKUP(AllDataApr[[#This Row],[Location Name]], Locations[Row Labels],Locations[Group As])</f>
        <v>Pershore Bridges</v>
      </c>
      <c r="I599" t="str">
        <f>_xlfn.XLOOKUP(AllDataApr[[#This Row],[Site Name]],LocationsKey[Site Name],LocationsKey[Region])</f>
        <v>Pershore</v>
      </c>
      <c r="J599" t="str">
        <f>_xlfn.XLOOKUP(AllDataApr[[#This Row],[Site Name]],LocationsKey[Site Name], LocationsKey[Waterway])</f>
        <v>Avon</v>
      </c>
      <c r="K599" t="s">
        <v>233</v>
      </c>
      <c r="L599">
        <v>52.104089999999999</v>
      </c>
      <c r="M599">
        <v>-2.0707499999999999</v>
      </c>
      <c r="O599" s="7">
        <v>822</v>
      </c>
      <c r="P599">
        <v>12.5</v>
      </c>
      <c r="Q599" s="7">
        <v>5</v>
      </c>
      <c r="R599" s="7" t="str">
        <f>IF(AllDataApr[[#This Row],[Nitrate (PPM)]]&gt;2, "Very high", IF(AllDataApr[[#This Row],[Nitrate (PPM)]]&gt;1, "High", IF(AllDataApr[[#This Row],[Nitrate (PPM)]]&gt;0.5, "Some evidence", IF(AllDataApr[[#This Row],[Nitrate (PPM)]]&gt;0, "No evidence", IF(AllDataApr[[#This Row],[Nitrate (PPM)]]=0, "")))))</f>
        <v>Very high</v>
      </c>
      <c r="S599" s="7">
        <v>0.62</v>
      </c>
      <c r="T599" s="7" t="str">
        <f>IF(AllDataApr[[#This Row],[Phosphate (PPM)]]&gt;0.5, "Very high", IF(AllDataApr[[#This Row],[Phosphate (PPM)]]&gt;0.1, "High", IF(AllDataApr[[#This Row],[Phosphate (PPM)]]&gt;0.05, "Some evidence", IF(AllDataApr[[#This Row],[Phosphate (PPM)]]=0, ""))))</f>
        <v>Very high</v>
      </c>
      <c r="U599">
        <v>3.34</v>
      </c>
    </row>
    <row r="600" spans="1:22" x14ac:dyDescent="0.3">
      <c r="A600" t="s">
        <v>309</v>
      </c>
      <c r="B600" s="2">
        <v>45397</v>
      </c>
      <c r="C600" s="2" t="str" cm="1">
        <f t="array" ref="C60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00">
        <f>YEAR(AllDataApr[[#This Row],[Date]])</f>
        <v>2024</v>
      </c>
      <c r="E600" s="1">
        <v>0.59444444444444444</v>
      </c>
      <c r="F600" s="2" t="str">
        <f>IF(AND(AllDataApr[[#This Row],[Time]]&lt;0.5, AllDataApr[[#This Row],[Time]]&gt;0.17)=TRUE, "Morning", IF(AND(AllDataApr[[#This Row],[Time]]&lt;0.75, AllDataApr[[#This Row],[Time]]&gt;=0.5)=TRUE, "Afternoon", IF(AND(AllDataApr[[#This Row],[Time]]&lt;1, AllDataApr[[#This Row],[Time]]&gt;=0.75)=TRUE, "Evening", "Night")))</f>
        <v>Afternoon</v>
      </c>
      <c r="G600" t="s">
        <v>129</v>
      </c>
      <c r="H600" t="str">
        <f>_xlfn.XLOOKUP(AllDataApr[[#This Row],[Location Name]], Locations[Row Labels],Locations[Group As])</f>
        <v>Alveston Weir</v>
      </c>
      <c r="I600" t="str">
        <f>_xlfn.XLOOKUP(AllDataApr[[#This Row],[Site Name]],LocationsKey[Site Name],LocationsKey[Region])</f>
        <v>Stratford</v>
      </c>
      <c r="J600" t="str">
        <f>_xlfn.XLOOKUP(AllDataApr[[#This Row],[Site Name]],LocationsKey[Site Name], LocationsKey[Waterway])</f>
        <v>Avon</v>
      </c>
      <c r="K600" t="s">
        <v>128</v>
      </c>
      <c r="L600">
        <v>52.212288999999998</v>
      </c>
      <c r="M600">
        <v>-1.660452</v>
      </c>
      <c r="N600" t="s">
        <v>18</v>
      </c>
      <c r="O600" s="178">
        <v>666</v>
      </c>
      <c r="P600">
        <v>15</v>
      </c>
      <c r="Q600" s="178">
        <v>10</v>
      </c>
      <c r="R600" s="7" t="str">
        <f>IF(AllDataApr[[#This Row],[Nitrate (PPM)]]&gt;2, "Very high", IF(AllDataApr[[#This Row],[Nitrate (PPM)]]&gt;1, "High", IF(AllDataApr[[#This Row],[Nitrate (PPM)]]&gt;0.5, "Some evidence", IF(AllDataApr[[#This Row],[Nitrate (PPM)]]&gt;0, "No evidence", IF(AllDataApr[[#This Row],[Nitrate (PPM)]]=0, "")))))</f>
        <v>Very high</v>
      </c>
      <c r="S600" s="178">
        <v>0.44</v>
      </c>
      <c r="T600" s="7" t="str">
        <f>IF(AllDataApr[[#This Row],[Phosphate (PPM)]]&gt;0.5, "Very high", IF(AllDataApr[[#This Row],[Phosphate (PPM)]]&gt;0.1, "High", IF(AllDataApr[[#This Row],[Phosphate (PPM)]]&gt;0.05, "Some evidence", IF(AllDataApr[[#This Row],[Phosphate (PPM)]]=0, ""))))</f>
        <v>High</v>
      </c>
      <c r="U600">
        <v>0</v>
      </c>
      <c r="V600" t="s">
        <v>934</v>
      </c>
    </row>
    <row r="601" spans="1:22" x14ac:dyDescent="0.3">
      <c r="A601" t="s">
        <v>310</v>
      </c>
      <c r="B601" s="2">
        <v>45397</v>
      </c>
      <c r="C601" s="2" t="str" cm="1">
        <f t="array" ref="C60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01">
        <f>YEAR(AllDataApr[[#This Row],[Date]])</f>
        <v>2024</v>
      </c>
      <c r="E601" s="1">
        <v>0.59722222222222221</v>
      </c>
      <c r="F601" s="2" t="str">
        <f>IF(AND(AllDataApr[[#This Row],[Time]]&lt;0.5, AllDataApr[[#This Row],[Time]]&gt;0.17)=TRUE, "Morning", IF(AND(AllDataApr[[#This Row],[Time]]&lt;0.75, AllDataApr[[#This Row],[Time]]&gt;=0.5)=TRUE, "Afternoon", IF(AND(AllDataApr[[#This Row],[Time]]&lt;1, AllDataApr[[#This Row],[Time]]&gt;=0.75)=TRUE, "Evening", "Night")))</f>
        <v>Afternoon</v>
      </c>
      <c r="G601" t="s">
        <v>274</v>
      </c>
      <c r="H601" t="str">
        <f>_xlfn.XLOOKUP(AllDataApr[[#This Row],[Location Name]], Locations[Row Labels],Locations[Group As])</f>
        <v>Abbey Mill</v>
      </c>
      <c r="I601" t="str">
        <f>_xlfn.XLOOKUP(AllDataApr[[#This Row],[Site Name]],LocationsKey[Site Name],LocationsKey[Region])</f>
        <v>Tewkesbury</v>
      </c>
      <c r="J601" t="str">
        <f>_xlfn.XLOOKUP(AllDataApr[[#This Row],[Site Name]],LocationsKey[Site Name], LocationsKey[Waterway])</f>
        <v>Avon</v>
      </c>
      <c r="K601" t="s">
        <v>13</v>
      </c>
      <c r="L601">
        <v>51.989905999999998</v>
      </c>
      <c r="M601">
        <v>-2.1616270000000002</v>
      </c>
      <c r="N601" t="s">
        <v>18</v>
      </c>
      <c r="O601" s="178">
        <v>794</v>
      </c>
      <c r="P601">
        <v>13</v>
      </c>
      <c r="Q601" s="178">
        <v>10</v>
      </c>
      <c r="R601" s="7" t="str">
        <f>IF(AllDataApr[[#This Row],[Nitrate (PPM)]]&gt;2, "Very high", IF(AllDataApr[[#This Row],[Nitrate (PPM)]]&gt;1, "High", IF(AllDataApr[[#This Row],[Nitrate (PPM)]]&gt;0.5, "Some evidence", IF(AllDataApr[[#This Row],[Nitrate (PPM)]]&gt;0, "No evidence", IF(AllDataApr[[#This Row],[Nitrate (PPM)]]=0, "")))))</f>
        <v>Very high</v>
      </c>
      <c r="S601" s="178">
        <v>0.52</v>
      </c>
      <c r="T601" s="7" t="str">
        <f>IF(AllDataApr[[#This Row],[Phosphate (PPM)]]&gt;0.5, "Very high", IF(AllDataApr[[#This Row],[Phosphate (PPM)]]&gt;0.1, "High", IF(AllDataApr[[#This Row],[Phosphate (PPM)]]&gt;0.05, "Some evidence", IF(AllDataApr[[#This Row],[Phosphate (PPM)]]=0, ""))))</f>
        <v>Very high</v>
      </c>
      <c r="U601">
        <v>0.5</v>
      </c>
      <c r="V601" t="s">
        <v>935</v>
      </c>
    </row>
    <row r="602" spans="1:22" x14ac:dyDescent="0.3">
      <c r="A602" t="s">
        <v>308</v>
      </c>
      <c r="B602" s="2">
        <v>45397</v>
      </c>
      <c r="C602" s="2" t="str" cm="1">
        <f t="array" ref="C60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02">
        <f>YEAR(AllDataApr[[#This Row],[Date]])</f>
        <v>2024</v>
      </c>
      <c r="E602" s="1">
        <v>0.60416666666666663</v>
      </c>
      <c r="F602" s="2" t="str">
        <f>IF(AND(AllDataApr[[#This Row],[Time]]&lt;0.5, AllDataApr[[#This Row],[Time]]&gt;0.17)=TRUE, "Morning", IF(AND(AllDataApr[[#This Row],[Time]]&lt;0.75, AllDataApr[[#This Row],[Time]]&gt;=0.5)=TRUE, "Afternoon", IF(AND(AllDataApr[[#This Row],[Time]]&lt;1, AllDataApr[[#This Row],[Time]]&gt;=0.75)=TRUE, "Evening", "Night")))</f>
        <v>Afternoon</v>
      </c>
      <c r="G602" t="s">
        <v>898</v>
      </c>
      <c r="H602" t="str">
        <f>_xlfn.XLOOKUP(AllDataApr[[#This Row],[Location Name]], Locations[Row Labels],Locations[Group As])</f>
        <v>Swiffen Bank</v>
      </c>
      <c r="I602" t="str">
        <f>_xlfn.XLOOKUP(AllDataApr[[#This Row],[Site Name]],LocationsKey[Site Name],LocationsKey[Region])</f>
        <v>Stratford</v>
      </c>
      <c r="J602" t="str">
        <f>_xlfn.XLOOKUP(AllDataApr[[#This Row],[Site Name]],LocationsKey[Site Name], LocationsKey[Waterway])</f>
        <v>Avon</v>
      </c>
      <c r="K602" t="s">
        <v>130</v>
      </c>
      <c r="L602">
        <v>52.206477999999997</v>
      </c>
      <c r="M602">
        <v>-1.653894</v>
      </c>
      <c r="N602" t="s">
        <v>18</v>
      </c>
      <c r="O602" s="178">
        <v>675</v>
      </c>
      <c r="P602">
        <v>12.7</v>
      </c>
      <c r="Q602" s="178">
        <v>10</v>
      </c>
      <c r="R602" s="7" t="str">
        <f>IF(AllDataApr[[#This Row],[Nitrate (PPM)]]&gt;2, "Very high", IF(AllDataApr[[#This Row],[Nitrate (PPM)]]&gt;1, "High", IF(AllDataApr[[#This Row],[Nitrate (PPM)]]&gt;0.5, "Some evidence", IF(AllDataApr[[#This Row],[Nitrate (PPM)]]&gt;0, "No evidence", IF(AllDataApr[[#This Row],[Nitrate (PPM)]]=0, "")))))</f>
        <v>Very high</v>
      </c>
      <c r="S602" s="178">
        <v>0.41</v>
      </c>
      <c r="T602" s="7" t="str">
        <f>IF(AllDataApr[[#This Row],[Phosphate (PPM)]]&gt;0.5, "Very high", IF(AllDataApr[[#This Row],[Phosphate (PPM)]]&gt;0.1, "High", IF(AllDataApr[[#This Row],[Phosphate (PPM)]]&gt;0.05, "Some evidence", IF(AllDataApr[[#This Row],[Phosphate (PPM)]]=0, ""))))</f>
        <v>High</v>
      </c>
      <c r="U602">
        <v>0</v>
      </c>
    </row>
    <row r="603" spans="1:22" x14ac:dyDescent="0.3">
      <c r="A603" t="s">
        <v>307</v>
      </c>
      <c r="B603" s="2">
        <v>45397</v>
      </c>
      <c r="C603" s="2" t="str" cm="1">
        <f t="array" ref="C60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03">
        <f>YEAR(AllDataApr[[#This Row],[Date]])</f>
        <v>2024</v>
      </c>
      <c r="E603" s="1">
        <v>0.64513888888888893</v>
      </c>
      <c r="F603" s="2" t="str">
        <f>IF(AND(AllDataApr[[#This Row],[Time]]&lt;0.5, AllDataApr[[#This Row],[Time]]&gt;0.17)=TRUE, "Morning", IF(AND(AllDataApr[[#This Row],[Time]]&lt;0.75, AllDataApr[[#This Row],[Time]]&gt;=0.5)=TRUE, "Afternoon", IF(AND(AllDataApr[[#This Row],[Time]]&lt;1, AllDataApr[[#This Row],[Time]]&gt;=0.75)=TRUE, "Evening", "Night")))</f>
        <v>Afternoon</v>
      </c>
      <c r="G603" t="s">
        <v>224</v>
      </c>
      <c r="H603" t="str">
        <f>_xlfn.XLOOKUP(AllDataApr[[#This Row],[Location Name]], Locations[Row Labels],Locations[Group As])</f>
        <v>The Ford, Langley</v>
      </c>
      <c r="I603" t="str">
        <f>_xlfn.XLOOKUP(AllDataApr[[#This Row],[Site Name]],LocationsKey[Site Name],LocationsKey[Region])</f>
        <v>Henley-in-Arden</v>
      </c>
      <c r="J603" t="str">
        <f>_xlfn.XLOOKUP(AllDataApr[[#This Row],[Site Name]],LocationsKey[Site Name], LocationsKey[Waterway])</f>
        <v>Langley Ford</v>
      </c>
      <c r="K603" t="s">
        <v>230</v>
      </c>
      <c r="L603">
        <v>52.259639</v>
      </c>
      <c r="M603">
        <v>-1.7181999999999999</v>
      </c>
      <c r="N603" t="s">
        <v>18</v>
      </c>
      <c r="O603" s="178">
        <v>582</v>
      </c>
      <c r="P603">
        <v>11.2</v>
      </c>
      <c r="Q603" s="178">
        <v>0.5</v>
      </c>
      <c r="R603" s="7" t="str">
        <f>IF(AllDataApr[[#This Row],[Nitrate (PPM)]]&gt;2, "Very high", IF(AllDataApr[[#This Row],[Nitrate (PPM)]]&gt;1, "High", IF(AllDataApr[[#This Row],[Nitrate (PPM)]]&gt;0.5, "Some evidence", IF(AllDataApr[[#This Row],[Nitrate (PPM)]]&gt;0, "No evidence", IF(AllDataApr[[#This Row],[Nitrate (PPM)]]=0, "")))))</f>
        <v>No evidence</v>
      </c>
      <c r="S603" s="178">
        <v>0.78</v>
      </c>
      <c r="T603" s="7" t="str">
        <f>IF(AllDataApr[[#This Row],[Phosphate (PPM)]]&gt;0.5, "Very high", IF(AllDataApr[[#This Row],[Phosphate (PPM)]]&gt;0.1, "High", IF(AllDataApr[[#This Row],[Phosphate (PPM)]]&gt;0.05, "Some evidence", IF(AllDataApr[[#This Row],[Phosphate (PPM)]]=0, ""))))</f>
        <v>Very high</v>
      </c>
      <c r="U603">
        <v>0.65</v>
      </c>
    </row>
    <row r="604" spans="1:22" x14ac:dyDescent="0.3">
      <c r="A604" t="s">
        <v>306</v>
      </c>
      <c r="B604" s="2">
        <v>45398</v>
      </c>
      <c r="C604" s="2" t="str" cm="1">
        <f t="array" ref="C60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04">
        <f>YEAR(AllDataApr[[#This Row],[Date]])</f>
        <v>2024</v>
      </c>
      <c r="E604" s="1">
        <v>0.37152777777777779</v>
      </c>
      <c r="F604" s="2" t="str">
        <f>IF(AND(AllDataApr[[#This Row],[Time]]&lt;0.5, AllDataApr[[#This Row],[Time]]&gt;0.17)=TRUE, "Morning", IF(AND(AllDataApr[[#This Row],[Time]]&lt;0.75, AllDataApr[[#This Row],[Time]]&gt;=0.5)=TRUE, "Afternoon", IF(AND(AllDataApr[[#This Row],[Time]]&lt;1, AllDataApr[[#This Row],[Time]]&gt;=0.75)=TRUE, "Evening", "Night")))</f>
        <v>Morning</v>
      </c>
      <c r="G604" t="s">
        <v>150</v>
      </c>
      <c r="H604" t="str">
        <f>_xlfn.XLOOKUP(AllDataApr[[#This Row],[Location Name]], Locations[Row Labels],Locations[Group As])</f>
        <v>Stour Stretton-on-Fosse Village</v>
      </c>
      <c r="I604" t="str">
        <f>_xlfn.XLOOKUP(AllDataApr[[#This Row],[Site Name]],LocationsKey[Site Name],LocationsKey[Region])</f>
        <v>Shipston</v>
      </c>
      <c r="J604" t="str">
        <f>_xlfn.XLOOKUP(AllDataApr[[#This Row],[Site Name]],LocationsKey[Site Name], LocationsKey[Waterway])</f>
        <v>Stour</v>
      </c>
      <c r="K604" t="s">
        <v>198</v>
      </c>
      <c r="L604">
        <v>52.046520999999998</v>
      </c>
      <c r="M604">
        <v>-1.6734370000000001</v>
      </c>
      <c r="N604" t="s">
        <v>42</v>
      </c>
      <c r="O604" s="178">
        <v>713</v>
      </c>
      <c r="P604">
        <v>8.9</v>
      </c>
      <c r="Q604" s="178">
        <v>2</v>
      </c>
      <c r="R604" s="7" t="str">
        <f>IF(AllDataApr[[#This Row],[Nitrate (PPM)]]&gt;2, "Very high", IF(AllDataApr[[#This Row],[Nitrate (PPM)]]&gt;1, "High", IF(AllDataApr[[#This Row],[Nitrate (PPM)]]&gt;0.5, "Some evidence", IF(AllDataApr[[#This Row],[Nitrate (PPM)]]&gt;0, "No evidence", IF(AllDataApr[[#This Row],[Nitrate (PPM)]]=0, "")))))</f>
        <v>High</v>
      </c>
      <c r="S604" s="178">
        <v>1.99</v>
      </c>
      <c r="T604" s="7" t="str">
        <f>IF(AllDataApr[[#This Row],[Phosphate (PPM)]]&gt;0.5, "Very high", IF(AllDataApr[[#This Row],[Phosphate (PPM)]]&gt;0.1, "High", IF(AllDataApr[[#This Row],[Phosphate (PPM)]]&gt;0.05, "Some evidence", IF(AllDataApr[[#This Row],[Phosphate (PPM)]]=0, ""))))</f>
        <v>Very high</v>
      </c>
      <c r="U604">
        <v>0.2</v>
      </c>
    </row>
    <row r="605" spans="1:22" x14ac:dyDescent="0.3">
      <c r="A605" t="s">
        <v>305</v>
      </c>
      <c r="B605" s="2">
        <v>45398</v>
      </c>
      <c r="C605" s="2" t="str" cm="1">
        <f t="array" ref="C60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05">
        <f>YEAR(AllDataApr[[#This Row],[Date]])</f>
        <v>2024</v>
      </c>
      <c r="E605" s="1">
        <v>0.38333333333333336</v>
      </c>
      <c r="F605" s="2" t="str">
        <f>IF(AND(AllDataApr[[#This Row],[Time]]&lt;0.5, AllDataApr[[#This Row],[Time]]&gt;0.17)=TRUE, "Morning", IF(AND(AllDataApr[[#This Row],[Time]]&lt;0.75, AllDataApr[[#This Row],[Time]]&gt;=0.5)=TRUE, "Afternoon", IF(AND(AllDataApr[[#This Row],[Time]]&lt;1, AllDataApr[[#This Row],[Time]]&gt;=0.75)=TRUE, "Evening", "Night")))</f>
        <v>Morning</v>
      </c>
      <c r="G605" t="s">
        <v>150</v>
      </c>
      <c r="H605" t="str">
        <f>_xlfn.XLOOKUP(AllDataApr[[#This Row],[Location Name]], Locations[Row Labels],Locations[Group As])</f>
        <v>Stour Stretton-on-Fosse Sewage Works</v>
      </c>
      <c r="I605" t="str">
        <f>_xlfn.XLOOKUP(AllDataApr[[#This Row],[Site Name]],LocationsKey[Site Name],LocationsKey[Region])</f>
        <v>Shipston</v>
      </c>
      <c r="J605" t="str">
        <f>_xlfn.XLOOKUP(AllDataApr[[#This Row],[Site Name]],LocationsKey[Site Name], LocationsKey[Waterway])</f>
        <v>Stour</v>
      </c>
      <c r="K605" t="s">
        <v>151</v>
      </c>
      <c r="L605">
        <v>52.045665</v>
      </c>
      <c r="M605">
        <v>-1.6719170000000001</v>
      </c>
      <c r="N605" t="s">
        <v>18</v>
      </c>
      <c r="O605" s="178">
        <v>753</v>
      </c>
      <c r="P605">
        <v>9.1999999999999993</v>
      </c>
      <c r="Q605" s="178">
        <v>2</v>
      </c>
      <c r="R605" s="7" t="str">
        <f>IF(AllDataApr[[#This Row],[Nitrate (PPM)]]&gt;2, "Very high", IF(AllDataApr[[#This Row],[Nitrate (PPM)]]&gt;1, "High", IF(AllDataApr[[#This Row],[Nitrate (PPM)]]&gt;0.5, "Some evidence", IF(AllDataApr[[#This Row],[Nitrate (PPM)]]&gt;0, "No evidence", IF(AllDataApr[[#This Row],[Nitrate (PPM)]]=0, "")))))</f>
        <v>High</v>
      </c>
      <c r="S605" s="178">
        <v>2.5</v>
      </c>
      <c r="T605" s="7" t="str">
        <f>IF(AllDataApr[[#This Row],[Phosphate (PPM)]]&gt;0.5, "Very high", IF(AllDataApr[[#This Row],[Phosphate (PPM)]]&gt;0.1, "High", IF(AllDataApr[[#This Row],[Phosphate (PPM)]]&gt;0.05, "Some evidence", IF(AllDataApr[[#This Row],[Phosphate (PPM)]]=0, ""))))</f>
        <v>Very high</v>
      </c>
      <c r="U605">
        <v>0.2</v>
      </c>
      <c r="V605" t="s">
        <v>933</v>
      </c>
    </row>
    <row r="606" spans="1:22" x14ac:dyDescent="0.3">
      <c r="A606" t="s">
        <v>1239</v>
      </c>
      <c r="B606" s="2">
        <v>45400</v>
      </c>
      <c r="C606" s="2" t="str" cm="1">
        <f t="array" ref="C60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06">
        <f>YEAR(AllDataApr[[#This Row],[Date]])</f>
        <v>2024</v>
      </c>
      <c r="E606" s="1">
        <v>0.43472222222222223</v>
      </c>
      <c r="F606" s="2" t="str">
        <f>IF(AND(AllDataApr[[#This Row],[Time]]&lt;0.5, AllDataApr[[#This Row],[Time]]&gt;0.17)=TRUE, "Morning", IF(AND(AllDataApr[[#This Row],[Time]]&lt;0.75, AllDataApr[[#This Row],[Time]]&gt;=0.5)=TRUE, "Afternoon", IF(AND(AllDataApr[[#This Row],[Time]]&lt;1, AllDataApr[[#This Row],[Time]]&gt;=0.75)=TRUE, "Evening", "Night")))</f>
        <v>Morning</v>
      </c>
      <c r="G606" t="s">
        <v>220</v>
      </c>
      <c r="H606" t="str">
        <f>_xlfn.XLOOKUP(AllDataApr[[#This Row],[Location Name]], Locations[Row Labels],Locations[Group As])</f>
        <v>Stour Willington</v>
      </c>
      <c r="I606" t="str">
        <f>_xlfn.XLOOKUP(AllDataApr[[#This Row],[Site Name]],LocationsKey[Site Name],LocationsKey[Region])</f>
        <v>Shipston</v>
      </c>
      <c r="J606" t="str">
        <f>_xlfn.XLOOKUP(AllDataApr[[#This Row],[Site Name]],LocationsKey[Site Name], LocationsKey[Waterway])</f>
        <v>Stour</v>
      </c>
      <c r="K606" t="s">
        <v>197</v>
      </c>
      <c r="L606">
        <v>52.053559999999997</v>
      </c>
      <c r="M606">
        <v>-1.620126</v>
      </c>
      <c r="N606">
        <v>0</v>
      </c>
      <c r="O606" s="7">
        <v>597</v>
      </c>
      <c r="P606">
        <v>10.7</v>
      </c>
      <c r="Q606" s="7">
        <v>2</v>
      </c>
      <c r="R606" s="7" t="str">
        <f>IF(AllDataApr[[#This Row],[Nitrate (PPM)]]&gt;2, "Very high", IF(AllDataApr[[#This Row],[Nitrate (PPM)]]&gt;1, "High", IF(AllDataApr[[#This Row],[Nitrate (PPM)]]&gt;0.5, "Some evidence", IF(AllDataApr[[#This Row],[Nitrate (PPM)]]&gt;0, "No evidence", IF(AllDataApr[[#This Row],[Nitrate (PPM)]]=0, "")))))</f>
        <v>High</v>
      </c>
      <c r="S606" s="7">
        <v>0.15</v>
      </c>
      <c r="T606" s="7" t="str">
        <f>IF(AllDataApr[[#This Row],[Phosphate (PPM)]]&gt;0.5, "Very high", IF(AllDataApr[[#This Row],[Phosphate (PPM)]]&gt;0.1, "High", IF(AllDataApr[[#This Row],[Phosphate (PPM)]]&gt;0.05, "Some evidence", IF(AllDataApr[[#This Row],[Phosphate (PPM)]]=0, ""))))</f>
        <v>High</v>
      </c>
      <c r="U606">
        <v>0.5</v>
      </c>
    </row>
    <row r="607" spans="1:22" x14ac:dyDescent="0.3">
      <c r="A607" t="s">
        <v>1242</v>
      </c>
      <c r="B607" s="2">
        <v>45400</v>
      </c>
      <c r="C607" s="2" t="str" cm="1">
        <f t="array" ref="C60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07">
        <f>YEAR(AllDataApr[[#This Row],[Date]])</f>
        <v>2024</v>
      </c>
      <c r="E607" s="1">
        <v>0.44791666666666669</v>
      </c>
      <c r="F607" s="2" t="str">
        <f>IF(AND(AllDataApr[[#This Row],[Time]]&lt;0.5, AllDataApr[[#This Row],[Time]]&gt;0.17)=TRUE, "Morning", IF(AND(AllDataApr[[#This Row],[Time]]&lt;0.75, AllDataApr[[#This Row],[Time]]&gt;=0.5)=TRUE, "Afternoon", IF(AND(AllDataApr[[#This Row],[Time]]&lt;1, AllDataApr[[#This Row],[Time]]&gt;=0.75)=TRUE, "Evening", "Night")))</f>
        <v>Morning</v>
      </c>
      <c r="G607" t="s">
        <v>46</v>
      </c>
      <c r="H607" t="str">
        <f>_xlfn.XLOOKUP(AllDataApr[[#This Row],[Location Name]], Locations[Row Labels],Locations[Group As])</f>
        <v>Swilgate</v>
      </c>
      <c r="I607" t="str">
        <f>_xlfn.XLOOKUP(AllDataApr[[#This Row],[Site Name]],LocationsKey[Site Name],LocationsKey[Region])</f>
        <v>Tewkesbury</v>
      </c>
      <c r="J607" t="str">
        <f>_xlfn.XLOOKUP(AllDataApr[[#This Row],[Site Name]],LocationsKey[Site Name], LocationsKey[Waterway])</f>
        <v>Swilgate</v>
      </c>
      <c r="K607" t="s">
        <v>47</v>
      </c>
      <c r="N607" t="s">
        <v>14</v>
      </c>
      <c r="O607" s="7">
        <v>928</v>
      </c>
      <c r="P607">
        <v>10.5</v>
      </c>
      <c r="Q607" s="7">
        <v>3</v>
      </c>
      <c r="R607" s="7" t="str">
        <f>IF(AllDataApr[[#This Row],[Nitrate (PPM)]]&gt;2, "Very high", IF(AllDataApr[[#This Row],[Nitrate (PPM)]]&gt;1, "High", IF(AllDataApr[[#This Row],[Nitrate (PPM)]]&gt;0.5, "Some evidence", IF(AllDataApr[[#This Row],[Nitrate (PPM)]]&gt;0, "No evidence", IF(AllDataApr[[#This Row],[Nitrate (PPM)]]=0, "")))))</f>
        <v>Very high</v>
      </c>
      <c r="S607" s="7">
        <v>0.37</v>
      </c>
      <c r="T607" s="7" t="str">
        <f>IF(AllDataApr[[#This Row],[Phosphate (PPM)]]&gt;0.5, "Very high", IF(AllDataApr[[#This Row],[Phosphate (PPM)]]&gt;0.1, "High", IF(AllDataApr[[#This Row],[Phosphate (PPM)]]&gt;0.05, "Some evidence", IF(AllDataApr[[#This Row],[Phosphate (PPM)]]=0, ""))))</f>
        <v>High</v>
      </c>
      <c r="U607">
        <v>0</v>
      </c>
    </row>
    <row r="608" spans="1:22" x14ac:dyDescent="0.3">
      <c r="A608" t="s">
        <v>303</v>
      </c>
      <c r="B608" s="2">
        <v>45400</v>
      </c>
      <c r="C608" s="2" t="str" cm="1">
        <f t="array" ref="C60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08">
        <f>YEAR(AllDataApr[[#This Row],[Date]])</f>
        <v>2024</v>
      </c>
      <c r="E608" s="1">
        <v>0.51875000000000004</v>
      </c>
      <c r="F608" s="2" t="str">
        <f>IF(AND(AllDataApr[[#This Row],[Time]]&lt;0.5, AllDataApr[[#This Row],[Time]]&gt;0.17)=TRUE, "Morning", IF(AND(AllDataApr[[#This Row],[Time]]&lt;0.75, AllDataApr[[#This Row],[Time]]&gt;=0.5)=TRUE, "Afternoon", IF(AND(AllDataApr[[#This Row],[Time]]&lt;1, AllDataApr[[#This Row],[Time]]&gt;=0.75)=TRUE, "Evening", "Night")))</f>
        <v>Afternoon</v>
      </c>
      <c r="G608" t="s">
        <v>59</v>
      </c>
      <c r="H608" t="str">
        <f>_xlfn.XLOOKUP(AllDataApr[[#This Row],[Location Name]], Locations[Row Labels],Locations[Group As])</f>
        <v>Preston-on-Stour River Bridge</v>
      </c>
      <c r="I608" t="str">
        <f>_xlfn.XLOOKUP(AllDataApr[[#This Row],[Site Name]],LocationsKey[Site Name],LocationsKey[Region])</f>
        <v>Stratford</v>
      </c>
      <c r="J608" t="str">
        <f>_xlfn.XLOOKUP(AllDataApr[[#This Row],[Site Name]],LocationsKey[Site Name], LocationsKey[Waterway])</f>
        <v>Stour</v>
      </c>
      <c r="K608" t="s">
        <v>78</v>
      </c>
      <c r="L608">
        <v>52.146473</v>
      </c>
      <c r="M608">
        <v>-1.699732</v>
      </c>
      <c r="N608" t="s">
        <v>18</v>
      </c>
      <c r="O608" s="178">
        <v>658</v>
      </c>
      <c r="P608">
        <v>10.8</v>
      </c>
      <c r="Q608" s="178">
        <v>7</v>
      </c>
      <c r="R608" s="7" t="str">
        <f>IF(AllDataApr[[#This Row],[Nitrate (PPM)]]&gt;2, "Very high", IF(AllDataApr[[#This Row],[Nitrate (PPM)]]&gt;1, "High", IF(AllDataApr[[#This Row],[Nitrate (PPM)]]&gt;0.5, "Some evidence", IF(AllDataApr[[#This Row],[Nitrate (PPM)]]&gt;0, "No evidence", IF(AllDataApr[[#This Row],[Nitrate (PPM)]]=0, "")))))</f>
        <v>Very high</v>
      </c>
      <c r="S608" s="178">
        <v>0.21</v>
      </c>
      <c r="T608" s="7" t="str">
        <f>IF(AllDataApr[[#This Row],[Phosphate (PPM)]]&gt;0.5, "Very high", IF(AllDataApr[[#This Row],[Phosphate (PPM)]]&gt;0.1, "High", IF(AllDataApr[[#This Row],[Phosphate (PPM)]]&gt;0.05, "Some evidence", IF(AllDataApr[[#This Row],[Phosphate (PPM)]]=0, ""))))</f>
        <v>High</v>
      </c>
      <c r="U608">
        <v>1.5</v>
      </c>
    </row>
    <row r="609" spans="1:22" x14ac:dyDescent="0.3">
      <c r="A609" t="s">
        <v>302</v>
      </c>
      <c r="B609" s="2">
        <v>45400</v>
      </c>
      <c r="C609" s="2" t="str" cm="1">
        <f t="array" ref="C60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09">
        <f>YEAR(AllDataApr[[#This Row],[Date]])</f>
        <v>2024</v>
      </c>
      <c r="E609" s="1">
        <v>0.58263888888888893</v>
      </c>
      <c r="F609" s="2" t="str">
        <f>IF(AND(AllDataApr[[#This Row],[Time]]&lt;0.5, AllDataApr[[#This Row],[Time]]&gt;0.17)=TRUE, "Morning", IF(AND(AllDataApr[[#This Row],[Time]]&lt;0.75, AllDataApr[[#This Row],[Time]]&gt;=0.5)=TRUE, "Afternoon", IF(AND(AllDataApr[[#This Row],[Time]]&lt;1, AllDataApr[[#This Row],[Time]]&gt;=0.75)=TRUE, "Evening", "Night")))</f>
        <v>Afternoon</v>
      </c>
      <c r="G609" t="s">
        <v>16</v>
      </c>
      <c r="H609" t="str">
        <f>_xlfn.XLOOKUP(AllDataApr[[#This Row],[Location Name]], Locations[Row Labels],Locations[Group As])</f>
        <v>Twyning Fleet</v>
      </c>
      <c r="I609" t="str">
        <f>_xlfn.XLOOKUP(AllDataApr[[#This Row],[Site Name]],LocationsKey[Site Name],LocationsKey[Region])</f>
        <v>Tewkesbury</v>
      </c>
      <c r="J609" t="str">
        <f>_xlfn.XLOOKUP(AllDataApr[[#This Row],[Site Name]],LocationsKey[Site Name], LocationsKey[Waterway])</f>
        <v>Avon</v>
      </c>
      <c r="K609" t="s">
        <v>32</v>
      </c>
      <c r="L609">
        <v>52.027461000000002</v>
      </c>
      <c r="M609">
        <v>-2.1407370000000001</v>
      </c>
      <c r="N609" t="s">
        <v>18</v>
      </c>
      <c r="O609" s="178">
        <v>7380</v>
      </c>
      <c r="P609">
        <v>13.6</v>
      </c>
      <c r="Q609" s="178">
        <v>5</v>
      </c>
      <c r="R609" s="7" t="str">
        <f>IF(AllDataApr[[#This Row],[Nitrate (PPM)]]&gt;2, "Very high", IF(AllDataApr[[#This Row],[Nitrate (PPM)]]&gt;1, "High", IF(AllDataApr[[#This Row],[Nitrate (PPM)]]&gt;0.5, "Some evidence", IF(AllDataApr[[#This Row],[Nitrate (PPM)]]&gt;0, "No evidence", IF(AllDataApr[[#This Row],[Nitrate (PPM)]]=0, "")))))</f>
        <v>Very high</v>
      </c>
      <c r="S609" s="178">
        <v>0.99</v>
      </c>
      <c r="T609" s="7" t="str">
        <f>IF(AllDataApr[[#This Row],[Phosphate (PPM)]]&gt;0.5, "Very high", IF(AllDataApr[[#This Row],[Phosphate (PPM)]]&gt;0.1, "High", IF(AllDataApr[[#This Row],[Phosphate (PPM)]]&gt;0.05, "Some evidence", IF(AllDataApr[[#This Row],[Phosphate (PPM)]]=0, ""))))</f>
        <v>Very high</v>
      </c>
      <c r="U609">
        <v>0</v>
      </c>
      <c r="V609" t="s">
        <v>932</v>
      </c>
    </row>
    <row r="610" spans="1:22" x14ac:dyDescent="0.3">
      <c r="A610" t="s">
        <v>301</v>
      </c>
      <c r="B610" s="2">
        <v>45401</v>
      </c>
      <c r="C610" s="2" t="str" cm="1">
        <f t="array" ref="C61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10">
        <f>YEAR(AllDataApr[[#This Row],[Date]])</f>
        <v>2024</v>
      </c>
      <c r="E610" s="1">
        <v>0.70486111111111116</v>
      </c>
      <c r="F610" s="2" t="str">
        <f>IF(AND(AllDataApr[[#This Row],[Time]]&lt;0.5, AllDataApr[[#This Row],[Time]]&gt;0.17)=TRUE, "Morning", IF(AND(AllDataApr[[#This Row],[Time]]&lt;0.75, AllDataApr[[#This Row],[Time]]&gt;=0.5)=TRUE, "Afternoon", IF(AND(AllDataApr[[#This Row],[Time]]&lt;1, AllDataApr[[#This Row],[Time]]&gt;=0.75)=TRUE, "Evening", "Night")))</f>
        <v>Afternoon</v>
      </c>
      <c r="G610" t="s">
        <v>221</v>
      </c>
      <c r="H610" t="str">
        <f>_xlfn.XLOOKUP(AllDataApr[[#This Row],[Location Name]], Locations[Row Labels],Locations[Group As])</f>
        <v>Lower Lode</v>
      </c>
      <c r="I610" t="str">
        <f>_xlfn.XLOOKUP(AllDataApr[[#This Row],[Site Name]],LocationsKey[Site Name],LocationsKey[Region])</f>
        <v>Tewkesbury</v>
      </c>
      <c r="J610" t="str">
        <f>_xlfn.XLOOKUP(AllDataApr[[#This Row],[Site Name]],LocationsKey[Site Name], LocationsKey[Waterway])</f>
        <v>Avon</v>
      </c>
      <c r="K610" t="s">
        <v>234</v>
      </c>
      <c r="L610">
        <v>51.985052000000003</v>
      </c>
      <c r="M610">
        <v>-2.174159</v>
      </c>
      <c r="N610" t="s">
        <v>18</v>
      </c>
      <c r="O610" s="178">
        <v>9000</v>
      </c>
      <c r="P610">
        <v>15.4</v>
      </c>
      <c r="Q610" s="178">
        <v>10</v>
      </c>
      <c r="R610" s="7" t="str">
        <f>IF(AllDataApr[[#This Row],[Nitrate (PPM)]]&gt;2, "Very high", IF(AllDataApr[[#This Row],[Nitrate (PPM)]]&gt;1, "High", IF(AllDataApr[[#This Row],[Nitrate (PPM)]]&gt;0.5, "Some evidence", IF(AllDataApr[[#This Row],[Nitrate (PPM)]]&gt;0, "No evidence", IF(AllDataApr[[#This Row],[Nitrate (PPM)]]=0, "")))))</f>
        <v>Very high</v>
      </c>
      <c r="S610" s="178">
        <v>0.08</v>
      </c>
      <c r="T610" s="7" t="str">
        <f>IF(AllDataApr[[#This Row],[Phosphate (PPM)]]&gt;0.5, "Very high", IF(AllDataApr[[#This Row],[Phosphate (PPM)]]&gt;0.1, "High", IF(AllDataApr[[#This Row],[Phosphate (PPM)]]&gt;0.05, "Some evidence", IF(AllDataApr[[#This Row],[Phosphate (PPM)]]=0, ""))))</f>
        <v>Some evidence</v>
      </c>
      <c r="U610">
        <v>2</v>
      </c>
    </row>
    <row r="611" spans="1:22" x14ac:dyDescent="0.3">
      <c r="A611" t="s">
        <v>1153</v>
      </c>
      <c r="B611" s="2">
        <v>45401</v>
      </c>
      <c r="C611" s="2" t="str" cm="1">
        <f t="array" ref="C61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11">
        <f>YEAR(AllDataApr[[#This Row],[Date]])</f>
        <v>2024</v>
      </c>
      <c r="E611" s="1">
        <v>0.70902777777777781</v>
      </c>
      <c r="F611" s="2" t="str">
        <f>IF(AND(AllDataApr[[#This Row],[Time]]&lt;0.5, AllDataApr[[#This Row],[Time]]&gt;0.17)=TRUE, "Morning", IF(AND(AllDataApr[[#This Row],[Time]]&lt;0.75, AllDataApr[[#This Row],[Time]]&gt;=0.5)=TRUE, "Afternoon", IF(AND(AllDataApr[[#This Row],[Time]]&lt;1, AllDataApr[[#This Row],[Time]]&gt;=0.75)=TRUE, "Evening", "Night")))</f>
        <v>Afternoon</v>
      </c>
      <c r="G611" t="s">
        <v>277</v>
      </c>
      <c r="H611" t="str">
        <f>_xlfn.XLOOKUP(AllDataApr[[#This Row],[Location Name]], Locations[Row Labels],Locations[Group As])</f>
        <v>Mill Bridge Peopleton</v>
      </c>
      <c r="I611" t="str">
        <f>_xlfn.XLOOKUP(AllDataApr[[#This Row],[Site Name]],LocationsKey[Site Name],LocationsKey[Region])</f>
        <v>Pershore</v>
      </c>
      <c r="J611" t="str">
        <f>_xlfn.XLOOKUP(AllDataApr[[#This Row],[Site Name]],LocationsKey[Site Name], LocationsKey[Waterway])</f>
        <v>Bow Brook</v>
      </c>
      <c r="K611" t="s">
        <v>916</v>
      </c>
      <c r="L611">
        <v>52.154262000000003</v>
      </c>
      <c r="M611">
        <v>-2.0906370000000001</v>
      </c>
      <c r="N611" t="s">
        <v>18</v>
      </c>
      <c r="O611" s="7">
        <v>1020</v>
      </c>
      <c r="P611">
        <v>13.3</v>
      </c>
      <c r="Q611" s="7">
        <v>4</v>
      </c>
      <c r="R611" s="7" t="str">
        <f>IF(AllDataApr[[#This Row],[Nitrate (PPM)]]&gt;2, "Very high", IF(AllDataApr[[#This Row],[Nitrate (PPM)]]&gt;1, "High", IF(AllDataApr[[#This Row],[Nitrate (PPM)]]&gt;0.5, "Some evidence", IF(AllDataApr[[#This Row],[Nitrate (PPM)]]&gt;0, "No evidence", IF(AllDataApr[[#This Row],[Nitrate (PPM)]]=0, "")))))</f>
        <v>Very high</v>
      </c>
      <c r="S611" s="7">
        <v>0.83</v>
      </c>
      <c r="T611" s="7" t="str">
        <f>IF(AllDataApr[[#This Row],[Phosphate (PPM)]]&gt;0.5, "Very high", IF(AllDataApr[[#This Row],[Phosphate (PPM)]]&gt;0.1, "High", IF(AllDataApr[[#This Row],[Phosphate (PPM)]]&gt;0.05, "Some evidence", IF(AllDataApr[[#This Row],[Phosphate (PPM)]]=0, ""))))</f>
        <v>Very high</v>
      </c>
      <c r="U611">
        <v>0.45</v>
      </c>
    </row>
    <row r="612" spans="1:22" x14ac:dyDescent="0.3">
      <c r="A612" t="s">
        <v>1241</v>
      </c>
      <c r="B612" s="2">
        <v>45402</v>
      </c>
      <c r="C612" s="2" t="str" cm="1">
        <f t="array" ref="C61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12">
        <f>YEAR(AllDataApr[[#This Row],[Date]])</f>
        <v>2024</v>
      </c>
      <c r="E612" s="1">
        <v>0.47916666666666669</v>
      </c>
      <c r="F612" s="2" t="str">
        <f>IF(AND(AllDataApr[[#This Row],[Time]]&lt;0.5, AllDataApr[[#This Row],[Time]]&gt;0.17)=TRUE, "Morning", IF(AND(AllDataApr[[#This Row],[Time]]&lt;0.75, AllDataApr[[#This Row],[Time]]&gt;=0.5)=TRUE, "Afternoon", IF(AND(AllDataApr[[#This Row],[Time]]&lt;1, AllDataApr[[#This Row],[Time]]&gt;=0.75)=TRUE, "Evening", "Night")))</f>
        <v>Morning</v>
      </c>
      <c r="G612" t="s">
        <v>1266</v>
      </c>
      <c r="H612" t="str">
        <f>_xlfn.XLOOKUP(AllDataApr[[#This Row],[Location Name]], Locations[Row Labels],Locations[Group As])</f>
        <v>Piddle Brook Wyre Piddle Bridge</v>
      </c>
      <c r="I612" t="str">
        <f>_xlfn.XLOOKUP(AllDataApr[[#This Row],[Site Name]],LocationsKey[Site Name],LocationsKey[Region])</f>
        <v>Pershore</v>
      </c>
      <c r="J612" t="str">
        <f>_xlfn.XLOOKUP(AllDataApr[[#This Row],[Site Name]],LocationsKey[Site Name], LocationsKey[Waterway])</f>
        <v>Piddle Brook</v>
      </c>
      <c r="K612" t="s">
        <v>908</v>
      </c>
      <c r="L612">
        <v>52.126404000000001</v>
      </c>
      <c r="M612">
        <v>-2.0565410000000002</v>
      </c>
      <c r="N612" t="s">
        <v>1273</v>
      </c>
      <c r="O612" s="7">
        <v>1270</v>
      </c>
      <c r="P612">
        <v>10.3</v>
      </c>
      <c r="Q612" s="7">
        <v>7</v>
      </c>
      <c r="R612" s="7" t="str">
        <f>IF(AllDataApr[[#This Row],[Nitrate (PPM)]]&gt;2, "Very high", IF(AllDataApr[[#This Row],[Nitrate (PPM)]]&gt;1, "High", IF(AllDataApr[[#This Row],[Nitrate (PPM)]]&gt;0.5, "Some evidence", IF(AllDataApr[[#This Row],[Nitrate (PPM)]]&gt;0, "No evidence", IF(AllDataApr[[#This Row],[Nitrate (PPM)]]=0, "")))))</f>
        <v>Very high</v>
      </c>
      <c r="S612" s="7">
        <v>0.67</v>
      </c>
      <c r="T612" s="7" t="str">
        <f>IF(AllDataApr[[#This Row],[Phosphate (PPM)]]&gt;0.5, "Very high", IF(AllDataApr[[#This Row],[Phosphate (PPM)]]&gt;0.1, "High", IF(AllDataApr[[#This Row],[Phosphate (PPM)]]&gt;0.05, "Some evidence", IF(AllDataApr[[#This Row],[Phosphate (PPM)]]=0, ""))))</f>
        <v>Very high</v>
      </c>
      <c r="U612">
        <v>0.27</v>
      </c>
      <c r="V612" t="s">
        <v>1308</v>
      </c>
    </row>
    <row r="613" spans="1:22" x14ac:dyDescent="0.3">
      <c r="A613" t="s">
        <v>1246</v>
      </c>
      <c r="B613" s="2">
        <v>45402</v>
      </c>
      <c r="C613" s="2" t="str" cm="1">
        <f t="array" ref="C61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13">
        <f>YEAR(AllDataApr[[#This Row],[Date]])</f>
        <v>2024</v>
      </c>
      <c r="E613" s="1">
        <v>0.5</v>
      </c>
      <c r="F613" s="2" t="str">
        <f>IF(AND(AllDataApr[[#This Row],[Time]]&lt;0.5, AllDataApr[[#This Row],[Time]]&gt;0.17)=TRUE, "Morning", IF(AND(AllDataApr[[#This Row],[Time]]&lt;0.75, AllDataApr[[#This Row],[Time]]&gt;=0.5)=TRUE, "Afternoon", IF(AND(AllDataApr[[#This Row],[Time]]&lt;1, AllDataApr[[#This Row],[Time]]&gt;=0.75)=TRUE, "Evening", "Night")))</f>
        <v>Afternoon</v>
      </c>
      <c r="G613" t="s">
        <v>52</v>
      </c>
      <c r="H613" t="str">
        <f>_xlfn.XLOOKUP(AllDataApr[[#This Row],[Location Name]], Locations[Row Labels],Locations[Group As])</f>
        <v>Carrant Bredon Rd</v>
      </c>
      <c r="I613" t="str">
        <f>_xlfn.XLOOKUP(AllDataApr[[#This Row],[Site Name]],LocationsKey[Site Name],LocationsKey[Region])</f>
        <v>Tewkesbury</v>
      </c>
      <c r="J613" t="str">
        <f>_xlfn.XLOOKUP(AllDataApr[[#This Row],[Site Name]],LocationsKey[Site Name], LocationsKey[Waterway])</f>
        <v>Carrant</v>
      </c>
      <c r="K613" t="s">
        <v>179</v>
      </c>
      <c r="L613">
        <v>51.996274999999997</v>
      </c>
      <c r="M613">
        <v>-2.1560709999999998</v>
      </c>
      <c r="N613" t="s">
        <v>200</v>
      </c>
      <c r="O613" s="7">
        <v>746</v>
      </c>
      <c r="P613">
        <v>11.5</v>
      </c>
      <c r="Q613" s="7">
        <v>7</v>
      </c>
      <c r="R613" s="7" t="str">
        <f>IF(AllDataApr[[#This Row],[Nitrate (PPM)]]&gt;2, "Very high", IF(AllDataApr[[#This Row],[Nitrate (PPM)]]&gt;1, "High", IF(AllDataApr[[#This Row],[Nitrate (PPM)]]&gt;0.5, "Some evidence", IF(AllDataApr[[#This Row],[Nitrate (PPM)]]&gt;0, "No evidence", IF(AllDataApr[[#This Row],[Nitrate (PPM)]]=0, "")))))</f>
        <v>Very high</v>
      </c>
      <c r="S613" s="7">
        <v>0.22</v>
      </c>
      <c r="T613" s="7" t="str">
        <f>IF(AllDataApr[[#This Row],[Phosphate (PPM)]]&gt;0.5, "Very high", IF(AllDataApr[[#This Row],[Phosphate (PPM)]]&gt;0.1, "High", IF(AllDataApr[[#This Row],[Phosphate (PPM)]]&gt;0.05, "Some evidence", IF(AllDataApr[[#This Row],[Phosphate (PPM)]]=0, ""))))</f>
        <v>High</v>
      </c>
      <c r="U613">
        <v>0.08</v>
      </c>
    </row>
    <row r="614" spans="1:22" x14ac:dyDescent="0.3">
      <c r="A614" t="s">
        <v>1250</v>
      </c>
      <c r="B614" s="2">
        <v>45402</v>
      </c>
      <c r="C614" s="2" t="str" cm="1">
        <f t="array" ref="C61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14">
        <f>YEAR(AllDataApr[[#This Row],[Date]])</f>
        <v>2024</v>
      </c>
      <c r="E614" s="1">
        <v>0.50694444444444442</v>
      </c>
      <c r="F614" s="2" t="str">
        <f>IF(AND(AllDataApr[[#This Row],[Time]]&lt;0.5, AllDataApr[[#This Row],[Time]]&gt;0.17)=TRUE, "Morning", IF(AND(AllDataApr[[#This Row],[Time]]&lt;0.75, AllDataApr[[#This Row],[Time]]&gt;=0.5)=TRUE, "Afternoon", IF(AND(AllDataApr[[#This Row],[Time]]&lt;1, AllDataApr[[#This Row],[Time]]&gt;=0.75)=TRUE, "Evening", "Night")))</f>
        <v>Afternoon</v>
      </c>
      <c r="G614" t="s">
        <v>900</v>
      </c>
      <c r="H614" t="str">
        <f>_xlfn.XLOOKUP(AllDataApr[[#This Row],[Location Name]], Locations[Row Labels],Locations[Group As])</f>
        <v>Fell Mill Footbridge</v>
      </c>
      <c r="I614" t="str">
        <f>_xlfn.XLOOKUP(AllDataApr[[#This Row],[Site Name]],LocationsKey[Site Name],LocationsKey[Region])</f>
        <v>Shipston</v>
      </c>
      <c r="J614" t="str">
        <f>_xlfn.XLOOKUP(AllDataApr[[#This Row],[Site Name]],LocationsKey[Site Name], LocationsKey[Waterway])</f>
        <v>Stour</v>
      </c>
      <c r="K614" t="s">
        <v>910</v>
      </c>
      <c r="L614">
        <v>52.070086000000003</v>
      </c>
      <c r="M614">
        <v>-1.61145</v>
      </c>
      <c r="N614" t="s">
        <v>18</v>
      </c>
      <c r="O614" s="7">
        <v>602</v>
      </c>
      <c r="P614">
        <v>11.5</v>
      </c>
      <c r="Q614" s="7">
        <v>10</v>
      </c>
      <c r="R614" s="7" t="str">
        <f>IF(AllDataApr[[#This Row],[Nitrate (PPM)]]&gt;2, "Very high", IF(AllDataApr[[#This Row],[Nitrate (PPM)]]&gt;1, "High", IF(AllDataApr[[#This Row],[Nitrate (PPM)]]&gt;0.5, "Some evidence", IF(AllDataApr[[#This Row],[Nitrate (PPM)]]&gt;0, "No evidence", IF(AllDataApr[[#This Row],[Nitrate (PPM)]]=0, "")))))</f>
        <v>Very high</v>
      </c>
      <c r="S614" s="7">
        <v>0.18</v>
      </c>
      <c r="T614" s="7" t="str">
        <f>IF(AllDataApr[[#This Row],[Phosphate (PPM)]]&gt;0.5, "Very high", IF(AllDataApr[[#This Row],[Phosphate (PPM)]]&gt;0.1, "High", IF(AllDataApr[[#This Row],[Phosphate (PPM)]]&gt;0.05, "Some evidence", IF(AllDataApr[[#This Row],[Phosphate (PPM)]]=0, ""))))</f>
        <v>High</v>
      </c>
      <c r="U614">
        <v>1.4</v>
      </c>
    </row>
    <row r="615" spans="1:22" x14ac:dyDescent="0.3">
      <c r="A615" t="s">
        <v>1249</v>
      </c>
      <c r="B615" s="2">
        <v>45402</v>
      </c>
      <c r="C615" s="2" t="str" cm="1">
        <f t="array" ref="C61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15">
        <f>YEAR(AllDataApr[[#This Row],[Date]])</f>
        <v>2024</v>
      </c>
      <c r="E615" s="1">
        <v>0.67361111111111116</v>
      </c>
      <c r="F615" s="2" t="str">
        <f>IF(AND(AllDataApr[[#This Row],[Time]]&lt;0.5, AllDataApr[[#This Row],[Time]]&gt;0.17)=TRUE, "Morning", IF(AND(AllDataApr[[#This Row],[Time]]&lt;0.75, AllDataApr[[#This Row],[Time]]&gt;=0.5)=TRUE, "Afternoon", IF(AND(AllDataApr[[#This Row],[Time]]&lt;1, AllDataApr[[#This Row],[Time]]&gt;=0.75)=TRUE, "Evening", "Night")))</f>
        <v>Afternoon</v>
      </c>
      <c r="G615" t="s">
        <v>903</v>
      </c>
      <c r="H615" t="str">
        <f>_xlfn.XLOOKUP(AllDataApr[[#This Row],[Location Name]], Locations[Row Labels],Locations[Group As])</f>
        <v>Walcot Lane, Bow Brook Ford</v>
      </c>
      <c r="I615" t="str">
        <f>_xlfn.XLOOKUP(AllDataApr[[#This Row],[Site Name]],LocationsKey[Site Name],LocationsKey[Region])</f>
        <v>Pershore</v>
      </c>
      <c r="J615" t="str">
        <f>_xlfn.XLOOKUP(AllDataApr[[#This Row],[Site Name]],LocationsKey[Site Name], LocationsKey[Waterway])</f>
        <v>Bow Brook</v>
      </c>
      <c r="K615" t="s">
        <v>915</v>
      </c>
      <c r="L615">
        <v>52.129123</v>
      </c>
      <c r="M615">
        <v>-2.076397</v>
      </c>
      <c r="N615" t="s">
        <v>283</v>
      </c>
      <c r="O615" s="7">
        <v>1090</v>
      </c>
      <c r="P615">
        <v>14.5</v>
      </c>
      <c r="Q615" s="7">
        <v>5</v>
      </c>
      <c r="R615" s="7" t="str">
        <f>IF(AllDataApr[[#This Row],[Nitrate (PPM)]]&gt;2, "Very high", IF(AllDataApr[[#This Row],[Nitrate (PPM)]]&gt;1, "High", IF(AllDataApr[[#This Row],[Nitrate (PPM)]]&gt;0.5, "Some evidence", IF(AllDataApr[[#This Row],[Nitrate (PPM)]]&gt;0, "No evidence", IF(AllDataApr[[#This Row],[Nitrate (PPM)]]=0, "")))))</f>
        <v>Very high</v>
      </c>
      <c r="S615" s="7">
        <v>0.8</v>
      </c>
      <c r="T615" s="7" t="str">
        <f>IF(AllDataApr[[#This Row],[Phosphate (PPM)]]&gt;0.5, "Very high", IF(AllDataApr[[#This Row],[Phosphate (PPM)]]&gt;0.1, "High", IF(AllDataApr[[#This Row],[Phosphate (PPM)]]&gt;0.05, "Some evidence", IF(AllDataApr[[#This Row],[Phosphate (PPM)]]=0, ""))))</f>
        <v>Very high</v>
      </c>
      <c r="U615">
        <v>0.25</v>
      </c>
      <c r="V615" t="s">
        <v>1309</v>
      </c>
    </row>
    <row r="616" spans="1:22" x14ac:dyDescent="0.3">
      <c r="A616" t="s">
        <v>1248</v>
      </c>
      <c r="B616" s="2">
        <v>45402</v>
      </c>
      <c r="C616" s="2" t="str" cm="1">
        <f t="array" ref="C61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16">
        <f>YEAR(AllDataApr[[#This Row],[Date]])</f>
        <v>2024</v>
      </c>
      <c r="E616" s="1">
        <v>0.70138888888888884</v>
      </c>
      <c r="F616" s="2" t="str">
        <f>IF(AND(AllDataApr[[#This Row],[Time]]&lt;0.5, AllDataApr[[#This Row],[Time]]&gt;0.17)=TRUE, "Morning", IF(AND(AllDataApr[[#This Row],[Time]]&lt;0.75, AllDataApr[[#This Row],[Time]]&gt;=0.5)=TRUE, "Afternoon", IF(AND(AllDataApr[[#This Row],[Time]]&lt;1, AllDataApr[[#This Row],[Time]]&gt;=0.75)=TRUE, "Evening", "Night")))</f>
        <v>Afternoon</v>
      </c>
      <c r="G616" t="s">
        <v>901</v>
      </c>
      <c r="H616" t="str">
        <f>_xlfn.XLOOKUP(AllDataApr[[#This Row],[Location Name]], Locations[Row Labels],Locations[Group As])</f>
        <v>Stour Whichford</v>
      </c>
      <c r="I616" t="str">
        <f>_xlfn.XLOOKUP(AllDataApr[[#This Row],[Site Name]],LocationsKey[Site Name],LocationsKey[Region])</f>
        <v>Shipston</v>
      </c>
      <c r="J616" t="str">
        <f>_xlfn.XLOOKUP(AllDataApr[[#This Row],[Site Name]],LocationsKey[Site Name], LocationsKey[Waterway])</f>
        <v>Stour</v>
      </c>
      <c r="K616" t="s">
        <v>912</v>
      </c>
      <c r="N616" t="s">
        <v>18</v>
      </c>
      <c r="O616" s="7">
        <v>522</v>
      </c>
      <c r="P616">
        <v>12.1</v>
      </c>
      <c r="Q616" s="7">
        <v>4.5</v>
      </c>
      <c r="R616" s="7" t="str">
        <f>IF(AllDataApr[[#This Row],[Nitrate (PPM)]]&gt;2, "Very high", IF(AllDataApr[[#This Row],[Nitrate (PPM)]]&gt;1, "High", IF(AllDataApr[[#This Row],[Nitrate (PPM)]]&gt;0.5, "Some evidence", IF(AllDataApr[[#This Row],[Nitrate (PPM)]]&gt;0, "No evidence", IF(AllDataApr[[#This Row],[Nitrate (PPM)]]=0, "")))))</f>
        <v>Very high</v>
      </c>
      <c r="S616" s="7">
        <v>0.34</v>
      </c>
      <c r="T616" s="7" t="str">
        <f>IF(AllDataApr[[#This Row],[Phosphate (PPM)]]&gt;0.5, "Very high", IF(AllDataApr[[#This Row],[Phosphate (PPM)]]&gt;0.1, "High", IF(AllDataApr[[#This Row],[Phosphate (PPM)]]&gt;0.05, "Some evidence", IF(AllDataApr[[#This Row],[Phosphate (PPM)]]=0, ""))))</f>
        <v>High</v>
      </c>
      <c r="U616">
        <v>15</v>
      </c>
    </row>
    <row r="617" spans="1:22" x14ac:dyDescent="0.3">
      <c r="A617" t="s">
        <v>1247</v>
      </c>
      <c r="B617" s="2">
        <v>45402</v>
      </c>
      <c r="C617" s="2" t="str" cm="1">
        <f t="array" ref="C61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17">
        <f>YEAR(AllDataApr[[#This Row],[Date]])</f>
        <v>2024</v>
      </c>
      <c r="E617" s="1">
        <v>0.72916666666666663</v>
      </c>
      <c r="F617" s="2" t="str">
        <f>IF(AND(AllDataApr[[#This Row],[Time]]&lt;0.5, AllDataApr[[#This Row],[Time]]&gt;0.17)=TRUE, "Morning", IF(AND(AllDataApr[[#This Row],[Time]]&lt;0.75, AllDataApr[[#This Row],[Time]]&gt;=0.5)=TRUE, "Afternoon", IF(AND(AllDataApr[[#This Row],[Time]]&lt;1, AllDataApr[[#This Row],[Time]]&gt;=0.75)=TRUE, "Evening", "Night")))</f>
        <v>Afternoon</v>
      </c>
      <c r="G617" t="s">
        <v>901</v>
      </c>
      <c r="H617" t="str">
        <f>_xlfn.XLOOKUP(AllDataApr[[#This Row],[Location Name]], Locations[Row Labels],Locations[Group As])</f>
        <v>Stour Ascott Village</v>
      </c>
      <c r="I617" t="str">
        <f>_xlfn.XLOOKUP(AllDataApr[[#This Row],[Site Name]],LocationsKey[Site Name],LocationsKey[Region])</f>
        <v>Shipston</v>
      </c>
      <c r="J617" t="str">
        <f>_xlfn.XLOOKUP(AllDataApr[[#This Row],[Site Name]],LocationsKey[Site Name], LocationsKey[Waterway])</f>
        <v>Stour</v>
      </c>
      <c r="K617" t="s">
        <v>911</v>
      </c>
      <c r="N617" t="s">
        <v>42</v>
      </c>
      <c r="O617" s="7">
        <v>12.08</v>
      </c>
      <c r="P617">
        <v>12.1</v>
      </c>
      <c r="Q617" s="7">
        <v>3.5</v>
      </c>
      <c r="R617" s="7" t="str">
        <f>IF(AllDataApr[[#This Row],[Nitrate (PPM)]]&gt;2, "Very high", IF(AllDataApr[[#This Row],[Nitrate (PPM)]]&gt;1, "High", IF(AllDataApr[[#This Row],[Nitrate (PPM)]]&gt;0.5, "Some evidence", IF(AllDataApr[[#This Row],[Nitrate (PPM)]]&gt;0, "No evidence", IF(AllDataApr[[#This Row],[Nitrate (PPM)]]=0, "")))))</f>
        <v>Very high</v>
      </c>
      <c r="S617" s="7">
        <v>0.23</v>
      </c>
      <c r="T617" s="7" t="str">
        <f>IF(AllDataApr[[#This Row],[Phosphate (PPM)]]&gt;0.5, "Very high", IF(AllDataApr[[#This Row],[Phosphate (PPM)]]&gt;0.1, "High", IF(AllDataApr[[#This Row],[Phosphate (PPM)]]&gt;0.05, "Some evidence", IF(AllDataApr[[#This Row],[Phosphate (PPM)]]=0, ""))))</f>
        <v>High</v>
      </c>
      <c r="U617">
        <v>12</v>
      </c>
    </row>
    <row r="618" spans="1:22" x14ac:dyDescent="0.3">
      <c r="A618" t="s">
        <v>1240</v>
      </c>
      <c r="B618" s="2">
        <v>45403</v>
      </c>
      <c r="C618" s="2" t="str" cm="1">
        <f t="array" ref="C61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18">
        <f>YEAR(AllDataApr[[#This Row],[Date]])</f>
        <v>2024</v>
      </c>
      <c r="E618" s="1">
        <v>0.42708333333333331</v>
      </c>
      <c r="F618" s="2" t="str">
        <f>IF(AND(AllDataApr[[#This Row],[Time]]&lt;0.5, AllDataApr[[#This Row],[Time]]&gt;0.17)=TRUE, "Morning", IF(AND(AllDataApr[[#This Row],[Time]]&lt;0.75, AllDataApr[[#This Row],[Time]]&gt;=0.5)=TRUE, "Afternoon", IF(AND(AllDataApr[[#This Row],[Time]]&lt;1, AllDataApr[[#This Row],[Time]]&gt;=0.75)=TRUE, "Evening", "Night")))</f>
        <v>Morning</v>
      </c>
      <c r="G618" t="s">
        <v>1265</v>
      </c>
      <c r="H618" t="str">
        <f>_xlfn.XLOOKUP(AllDataApr[[#This Row],[Location Name]], Locations[Row Labels],Locations[Group As])</f>
        <v>Avon Smiths Meadow Wyre Piddle</v>
      </c>
      <c r="I618" t="str">
        <f>_xlfn.XLOOKUP(AllDataApr[[#This Row],[Site Name]],LocationsKey[Site Name],LocationsKey[Region])</f>
        <v>Pershore</v>
      </c>
      <c r="J618" t="str">
        <f>_xlfn.XLOOKUP(AllDataApr[[#This Row],[Site Name]],LocationsKey[Site Name], LocationsKey[Waterway])</f>
        <v>Avon</v>
      </c>
      <c r="K618" t="s">
        <v>909</v>
      </c>
      <c r="L618">
        <v>52.122858999999998</v>
      </c>
      <c r="M618">
        <v>-2.0575389999999998</v>
      </c>
      <c r="N618" t="s">
        <v>1273</v>
      </c>
      <c r="O618" s="7">
        <v>868</v>
      </c>
      <c r="P618">
        <v>11.6</v>
      </c>
      <c r="Q618" s="7">
        <v>5</v>
      </c>
      <c r="R618" s="7" t="str">
        <f>IF(AllDataApr[[#This Row],[Nitrate (PPM)]]&gt;2, "Very high", IF(AllDataApr[[#This Row],[Nitrate (PPM)]]&gt;1, "High", IF(AllDataApr[[#This Row],[Nitrate (PPM)]]&gt;0.5, "Some evidence", IF(AllDataApr[[#This Row],[Nitrate (PPM)]]&gt;0, "No evidence", IF(AllDataApr[[#This Row],[Nitrate (PPM)]]=0, "")))))</f>
        <v>Very high</v>
      </c>
      <c r="S618" s="7">
        <v>0.56000000000000005</v>
      </c>
      <c r="T618" s="7" t="str">
        <f>IF(AllDataApr[[#This Row],[Phosphate (PPM)]]&gt;0.5, "Very high", IF(AllDataApr[[#This Row],[Phosphate (PPM)]]&gt;0.1, "High", IF(AllDataApr[[#This Row],[Phosphate (PPM)]]&gt;0.05, "Some evidence", IF(AllDataApr[[#This Row],[Phosphate (PPM)]]=0, ""))))</f>
        <v>Very high</v>
      </c>
      <c r="U618">
        <v>0.68</v>
      </c>
      <c r="V618" t="s">
        <v>1307</v>
      </c>
    </row>
    <row r="619" spans="1:22" x14ac:dyDescent="0.3">
      <c r="A619" t="s">
        <v>1220</v>
      </c>
      <c r="B619" s="2">
        <v>45403</v>
      </c>
      <c r="C619" s="2" t="str" cm="1">
        <f t="array" ref="C61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19">
        <f>YEAR(AllDataApr[[#This Row],[Date]])</f>
        <v>2024</v>
      </c>
      <c r="E619" s="1">
        <v>0.44444444444444442</v>
      </c>
      <c r="F619" s="2" t="str">
        <f>IF(AND(AllDataApr[[#This Row],[Time]]&lt;0.5, AllDataApr[[#This Row],[Time]]&gt;0.17)=TRUE, "Morning", IF(AND(AllDataApr[[#This Row],[Time]]&lt;0.75, AllDataApr[[#This Row],[Time]]&gt;=0.5)=TRUE, "Afternoon", IF(AND(AllDataApr[[#This Row],[Time]]&lt;1, AllDataApr[[#This Row],[Time]]&gt;=0.75)=TRUE, "Evening", "Night")))</f>
        <v>Morning</v>
      </c>
      <c r="G619" t="s">
        <v>1263</v>
      </c>
      <c r="H619" t="str">
        <f>_xlfn.XLOOKUP(AllDataApr[[#This Row],[Location Name]], Locations[Row Labels],Locations[Group As])</f>
        <v>The Ford, Langley</v>
      </c>
      <c r="I619" t="str">
        <f>_xlfn.XLOOKUP(AllDataApr[[#This Row],[Site Name]],LocationsKey[Site Name],LocationsKey[Region])</f>
        <v>Henley-in-Arden</v>
      </c>
      <c r="J619" t="str">
        <f>_xlfn.XLOOKUP(AllDataApr[[#This Row],[Site Name]],LocationsKey[Site Name], LocationsKey[Waterway])</f>
        <v>Langley Ford</v>
      </c>
      <c r="K619" t="s">
        <v>230</v>
      </c>
      <c r="L619">
        <v>52.259909999999998</v>
      </c>
      <c r="M619">
        <v>-1.7188140000000001</v>
      </c>
      <c r="N619" t="s">
        <v>18</v>
      </c>
      <c r="O619" s="7">
        <v>734</v>
      </c>
      <c r="P619">
        <v>9.6999999999999993</v>
      </c>
      <c r="Q619" s="7">
        <v>5</v>
      </c>
      <c r="R619" s="7" t="str">
        <f>IF(AllDataApr[[#This Row],[Nitrate (PPM)]]&gt;2, "Very high", IF(AllDataApr[[#This Row],[Nitrate (PPM)]]&gt;1, "High", IF(AllDataApr[[#This Row],[Nitrate (PPM)]]&gt;0.5, "Some evidence", IF(AllDataApr[[#This Row],[Nitrate (PPM)]]&gt;0, "No evidence", IF(AllDataApr[[#This Row],[Nitrate (PPM)]]=0, "")))))</f>
        <v>Very high</v>
      </c>
      <c r="S619" s="7">
        <v>0.47</v>
      </c>
      <c r="T619" s="7" t="str">
        <f>IF(AllDataApr[[#This Row],[Phosphate (PPM)]]&gt;0.5, "Very high", IF(AllDataApr[[#This Row],[Phosphate (PPM)]]&gt;0.1, "High", IF(AllDataApr[[#This Row],[Phosphate (PPM)]]&gt;0.05, "Some evidence", IF(AllDataApr[[#This Row],[Phosphate (PPM)]]=0, ""))))</f>
        <v>High</v>
      </c>
      <c r="U619">
        <v>0.3</v>
      </c>
      <c r="V619" t="s">
        <v>987</v>
      </c>
    </row>
    <row r="620" spans="1:22" x14ac:dyDescent="0.3">
      <c r="A620" t="s">
        <v>1236</v>
      </c>
      <c r="B620" s="2">
        <v>45403</v>
      </c>
      <c r="C620" s="2" t="str" cm="1">
        <f t="array" ref="C62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20">
        <f>YEAR(AllDataApr[[#This Row],[Date]])</f>
        <v>2024</v>
      </c>
      <c r="E620" s="1">
        <v>0.57291666666666663</v>
      </c>
      <c r="F620" s="2" t="str">
        <f>IF(AND(AllDataApr[[#This Row],[Time]]&lt;0.5, AllDataApr[[#This Row],[Time]]&gt;0.17)=TRUE, "Morning", IF(AND(AllDataApr[[#This Row],[Time]]&lt;0.75, AllDataApr[[#This Row],[Time]]&gt;=0.5)=TRUE, "Afternoon", IF(AND(AllDataApr[[#This Row],[Time]]&lt;1, AllDataApr[[#This Row],[Time]]&gt;=0.75)=TRUE, "Evening", "Night")))</f>
        <v>Afternoon</v>
      </c>
      <c r="G620" t="s">
        <v>112</v>
      </c>
      <c r="H620" t="str">
        <f>_xlfn.XLOOKUP(AllDataApr[[#This Row],[Location Name]], Locations[Row Labels],Locations[Group As])</f>
        <v>Clifford Chambers Mill Bridge</v>
      </c>
      <c r="I620" t="str">
        <f>_xlfn.XLOOKUP(AllDataApr[[#This Row],[Site Name]],LocationsKey[Site Name],LocationsKey[Region])</f>
        <v>Stratford</v>
      </c>
      <c r="J620" t="str">
        <f>_xlfn.XLOOKUP(AllDataApr[[#This Row],[Site Name]],LocationsKey[Site Name], LocationsKey[Waterway])</f>
        <v>Stour</v>
      </c>
      <c r="K620" t="s">
        <v>119</v>
      </c>
      <c r="L620">
        <v>52.166370000000001</v>
      </c>
      <c r="M620">
        <v>-1.708032</v>
      </c>
      <c r="N620" t="s">
        <v>1272</v>
      </c>
      <c r="O620" s="7">
        <v>659</v>
      </c>
      <c r="P620">
        <v>12.5</v>
      </c>
      <c r="Q620" s="7">
        <v>8</v>
      </c>
      <c r="R620" s="7" t="str">
        <f>IF(AllDataApr[[#This Row],[Nitrate (PPM)]]&gt;2, "Very high", IF(AllDataApr[[#This Row],[Nitrate (PPM)]]&gt;1, "High", IF(AllDataApr[[#This Row],[Nitrate (PPM)]]&gt;0.5, "Some evidence", IF(AllDataApr[[#This Row],[Nitrate (PPM)]]&gt;0, "No evidence", IF(AllDataApr[[#This Row],[Nitrate (PPM)]]=0, "")))))</f>
        <v>Very high</v>
      </c>
      <c r="S620" s="7">
        <v>0.14000000000000001</v>
      </c>
      <c r="T620" s="7" t="str">
        <f>IF(AllDataApr[[#This Row],[Phosphate (PPM)]]&gt;0.5, "Very high", IF(AllDataApr[[#This Row],[Phosphate (PPM)]]&gt;0.1, "High", IF(AllDataApr[[#This Row],[Phosphate (PPM)]]&gt;0.05, "Some evidence", IF(AllDataApr[[#This Row],[Phosphate (PPM)]]=0, ""))))</f>
        <v>High</v>
      </c>
      <c r="U620">
        <v>0.8</v>
      </c>
    </row>
    <row r="621" spans="1:22" x14ac:dyDescent="0.3">
      <c r="A621" t="s">
        <v>1245</v>
      </c>
      <c r="B621" s="2">
        <v>45403</v>
      </c>
      <c r="C621" s="2" t="str" cm="1">
        <f t="array" ref="C62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21">
        <f>YEAR(AllDataApr[[#This Row],[Date]])</f>
        <v>2024</v>
      </c>
      <c r="E621" s="1">
        <v>0.58472222222222225</v>
      </c>
      <c r="F621" s="2" t="str">
        <f>IF(AND(AllDataApr[[#This Row],[Time]]&lt;0.5, AllDataApr[[#This Row],[Time]]&gt;0.17)=TRUE, "Morning", IF(AND(AllDataApr[[#This Row],[Time]]&lt;0.75, AllDataApr[[#This Row],[Time]]&gt;=0.5)=TRUE, "Afternoon", IF(AND(AllDataApr[[#This Row],[Time]]&lt;1, AllDataApr[[#This Row],[Time]]&gt;=0.75)=TRUE, "Evening", "Night")))</f>
        <v>Afternoon</v>
      </c>
      <c r="G621" t="s">
        <v>11</v>
      </c>
      <c r="H621" t="str">
        <f>_xlfn.XLOOKUP(AllDataApr[[#This Row],[Location Name]], Locations[Row Labels],Locations[Group As])</f>
        <v>Carrant Mitton Path</v>
      </c>
      <c r="I621" t="str">
        <f>_xlfn.XLOOKUP(AllDataApr[[#This Row],[Site Name]],LocationsKey[Site Name],LocationsKey[Region])</f>
        <v>Tewkesbury</v>
      </c>
      <c r="J621" t="str">
        <f>_xlfn.XLOOKUP(AllDataApr[[#This Row],[Site Name]],LocationsKey[Site Name], LocationsKey[Waterway])</f>
        <v>Carrant</v>
      </c>
      <c r="K621" t="s">
        <v>914</v>
      </c>
      <c r="L621">
        <v>52.000030000000002</v>
      </c>
      <c r="M621">
        <v>-2.141861</v>
      </c>
      <c r="N621" t="s">
        <v>14</v>
      </c>
      <c r="O621" s="7">
        <v>525</v>
      </c>
      <c r="P621">
        <v>12.3</v>
      </c>
      <c r="Q621" s="7">
        <v>9</v>
      </c>
      <c r="R621" s="7" t="str">
        <f>IF(AllDataApr[[#This Row],[Nitrate (PPM)]]&gt;2, "Very high", IF(AllDataApr[[#This Row],[Nitrate (PPM)]]&gt;1, "High", IF(AllDataApr[[#This Row],[Nitrate (PPM)]]&gt;0.5, "Some evidence", IF(AllDataApr[[#This Row],[Nitrate (PPM)]]&gt;0, "No evidence", IF(AllDataApr[[#This Row],[Nitrate (PPM)]]=0, "")))))</f>
        <v>Very high</v>
      </c>
      <c r="S621" s="7">
        <v>0.28000000000000003</v>
      </c>
      <c r="T621" s="7" t="str">
        <f>IF(AllDataApr[[#This Row],[Phosphate (PPM)]]&gt;0.5, "Very high", IF(AllDataApr[[#This Row],[Phosphate (PPM)]]&gt;0.1, "High", IF(AllDataApr[[#This Row],[Phosphate (PPM)]]&gt;0.05, "Some evidence", IF(AllDataApr[[#This Row],[Phosphate (PPM)]]=0, ""))))</f>
        <v>High</v>
      </c>
      <c r="U621">
        <v>0</v>
      </c>
    </row>
    <row r="622" spans="1:22" x14ac:dyDescent="0.3">
      <c r="A622" t="s">
        <v>1244</v>
      </c>
      <c r="B622" s="2">
        <v>45403</v>
      </c>
      <c r="C622" s="2" t="str" cm="1">
        <f t="array" ref="C62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22">
        <f>YEAR(AllDataApr[[#This Row],[Date]])</f>
        <v>2024</v>
      </c>
      <c r="E622" s="1">
        <v>0.59652777777777777</v>
      </c>
      <c r="F622" s="2" t="str">
        <f>IF(AND(AllDataApr[[#This Row],[Time]]&lt;0.5, AllDataApr[[#This Row],[Time]]&gt;0.17)=TRUE, "Morning", IF(AND(AllDataApr[[#This Row],[Time]]&lt;0.75, AllDataApr[[#This Row],[Time]]&gt;=0.5)=TRUE, "Afternoon", IF(AND(AllDataApr[[#This Row],[Time]]&lt;1, AllDataApr[[#This Row],[Time]]&gt;=0.75)=TRUE, "Evening", "Night")))</f>
        <v>Afternoon</v>
      </c>
      <c r="G622" t="s">
        <v>11</v>
      </c>
      <c r="H622" t="str">
        <f>_xlfn.XLOOKUP(AllDataApr[[#This Row],[Location Name]], Locations[Row Labels],Locations[Group As])</f>
        <v>Carrant M5 Bridge</v>
      </c>
      <c r="I622" t="str">
        <f>_xlfn.XLOOKUP(AllDataApr[[#This Row],[Site Name]],LocationsKey[Site Name],LocationsKey[Region])</f>
        <v>Tewkesbury</v>
      </c>
      <c r="J622" t="str">
        <f>_xlfn.XLOOKUP(AllDataApr[[#This Row],[Site Name]],LocationsKey[Site Name], LocationsKey[Waterway])</f>
        <v>Carrant</v>
      </c>
      <c r="K622" t="s">
        <v>1268</v>
      </c>
      <c r="L622">
        <v>52.019897999999998</v>
      </c>
      <c r="M622">
        <v>-2.136495</v>
      </c>
      <c r="N622" t="s">
        <v>14</v>
      </c>
      <c r="O622" s="7">
        <v>747</v>
      </c>
      <c r="P622">
        <v>12.4</v>
      </c>
      <c r="Q622" s="7">
        <v>5</v>
      </c>
      <c r="R622" s="7" t="str">
        <f>IF(AllDataApr[[#This Row],[Nitrate (PPM)]]&gt;2, "Very high", IF(AllDataApr[[#This Row],[Nitrate (PPM)]]&gt;1, "High", IF(AllDataApr[[#This Row],[Nitrate (PPM)]]&gt;0.5, "Some evidence", IF(AllDataApr[[#This Row],[Nitrate (PPM)]]&gt;0, "No evidence", IF(AllDataApr[[#This Row],[Nitrate (PPM)]]=0, "")))))</f>
        <v>Very high</v>
      </c>
      <c r="S622" s="7">
        <v>0.32</v>
      </c>
      <c r="T622" s="7" t="str">
        <f>IF(AllDataApr[[#This Row],[Phosphate (PPM)]]&gt;0.5, "Very high", IF(AllDataApr[[#This Row],[Phosphate (PPM)]]&gt;0.1, "High", IF(AllDataApr[[#This Row],[Phosphate (PPM)]]&gt;0.05, "Some evidence", IF(AllDataApr[[#This Row],[Phosphate (PPM)]]=0, ""))))</f>
        <v>High</v>
      </c>
      <c r="U622">
        <v>0</v>
      </c>
    </row>
    <row r="623" spans="1:22" x14ac:dyDescent="0.3">
      <c r="A623" t="s">
        <v>1171</v>
      </c>
      <c r="B623" s="2">
        <v>45403</v>
      </c>
      <c r="C623" s="2" t="str" cm="1">
        <f t="array" ref="C62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23">
        <f>YEAR(AllDataApr[[#This Row],[Date]])</f>
        <v>2024</v>
      </c>
      <c r="E623" s="1">
        <v>0.61458333333333337</v>
      </c>
      <c r="F623" s="2" t="str">
        <f>IF(AND(AllDataApr[[#This Row],[Time]]&lt;0.5, AllDataApr[[#This Row],[Time]]&gt;0.17)=TRUE, "Morning", IF(AND(AllDataApr[[#This Row],[Time]]&lt;0.75, AllDataApr[[#This Row],[Time]]&gt;=0.5)=TRUE, "Afternoon", IF(AND(AllDataApr[[#This Row],[Time]]&lt;1, AllDataApr[[#This Row],[Time]]&gt;=0.75)=TRUE, "Evening", "Night")))</f>
        <v>Afternoon</v>
      </c>
      <c r="G623" t="s">
        <v>275</v>
      </c>
      <c r="H623" t="str">
        <f>_xlfn.XLOOKUP(AllDataApr[[#This Row],[Location Name]], Locations[Row Labels],Locations[Group As])</f>
        <v>Sherbourne Brook 1</v>
      </c>
      <c r="I623" t="str">
        <f>_xlfn.XLOOKUP(AllDataApr[[#This Row],[Site Name]],LocationsKey[Site Name],LocationsKey[Region])</f>
        <v>Stratford</v>
      </c>
      <c r="J623" t="str">
        <f>_xlfn.XLOOKUP(AllDataApr[[#This Row],[Site Name]],LocationsKey[Site Name], LocationsKey[Waterway])</f>
        <v>Sherbourne Brook</v>
      </c>
      <c r="K623" t="s">
        <v>280</v>
      </c>
      <c r="O623" s="7">
        <v>1060</v>
      </c>
      <c r="P623">
        <v>11.1</v>
      </c>
      <c r="Q623" s="7">
        <v>6</v>
      </c>
      <c r="R623" s="7" t="str">
        <f>IF(AllDataApr[[#This Row],[Nitrate (PPM)]]&gt;2, "Very high", IF(AllDataApr[[#This Row],[Nitrate (PPM)]]&gt;1, "High", IF(AllDataApr[[#This Row],[Nitrate (PPM)]]&gt;0.5, "Some evidence", IF(AllDataApr[[#This Row],[Nitrate (PPM)]]&gt;0, "No evidence", IF(AllDataApr[[#This Row],[Nitrate (PPM)]]=0, "")))))</f>
        <v>Very high</v>
      </c>
      <c r="S623" s="7">
        <v>0.56999999999999995</v>
      </c>
      <c r="T623" s="7" t="str">
        <f>IF(AllDataApr[[#This Row],[Phosphate (PPM)]]&gt;0.5, "Very high", IF(AllDataApr[[#This Row],[Phosphate (PPM)]]&gt;0.1, "High", IF(AllDataApr[[#This Row],[Phosphate (PPM)]]&gt;0.05, "Some evidence", IF(AllDataApr[[#This Row],[Phosphate (PPM)]]=0, ""))))</f>
        <v>Very high</v>
      </c>
      <c r="U623">
        <v>0.2</v>
      </c>
    </row>
    <row r="624" spans="1:22" x14ac:dyDescent="0.3">
      <c r="A624" t="s">
        <v>1170</v>
      </c>
      <c r="B624" s="2">
        <v>45403</v>
      </c>
      <c r="C624" s="2" t="str" cm="1">
        <f t="array" ref="C62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24">
        <f>YEAR(AllDataApr[[#This Row],[Date]])</f>
        <v>2024</v>
      </c>
      <c r="E624" s="1">
        <v>0.625</v>
      </c>
      <c r="F624" s="2" t="str">
        <f>IF(AND(AllDataApr[[#This Row],[Time]]&lt;0.5, AllDataApr[[#This Row],[Time]]&gt;0.17)=TRUE, "Morning", IF(AND(AllDataApr[[#This Row],[Time]]&lt;0.75, AllDataApr[[#This Row],[Time]]&gt;=0.5)=TRUE, "Afternoon", IF(AND(AllDataApr[[#This Row],[Time]]&lt;1, AllDataApr[[#This Row],[Time]]&gt;=0.75)=TRUE, "Evening", "Night")))</f>
        <v>Afternoon</v>
      </c>
      <c r="G624" t="s">
        <v>275</v>
      </c>
      <c r="H624" t="str">
        <f>_xlfn.XLOOKUP(AllDataApr[[#This Row],[Location Name]], Locations[Row Labels],Locations[Group As])</f>
        <v>Bell Brook 1</v>
      </c>
      <c r="I624" t="str">
        <f>_xlfn.XLOOKUP(AllDataApr[[#This Row],[Site Name]],LocationsKey[Site Name],LocationsKey[Region])</f>
        <v>Stratford</v>
      </c>
      <c r="J624" t="str">
        <f>_xlfn.XLOOKUP(AllDataApr[[#This Row],[Site Name]],LocationsKey[Site Name], LocationsKey[Waterway])</f>
        <v>Bell Brook</v>
      </c>
      <c r="K624" t="s">
        <v>279</v>
      </c>
      <c r="O624" s="7">
        <v>735</v>
      </c>
      <c r="P624">
        <v>13</v>
      </c>
      <c r="Q624" s="7">
        <v>5</v>
      </c>
      <c r="R624" s="7" t="str">
        <f>IF(AllDataApr[[#This Row],[Nitrate (PPM)]]&gt;2, "Very high", IF(AllDataApr[[#This Row],[Nitrate (PPM)]]&gt;1, "High", IF(AllDataApr[[#This Row],[Nitrate (PPM)]]&gt;0.5, "Some evidence", IF(AllDataApr[[#This Row],[Nitrate (PPM)]]&gt;0, "No evidence", IF(AllDataApr[[#This Row],[Nitrate (PPM)]]=0, "")))))</f>
        <v>Very high</v>
      </c>
      <c r="S624" s="7">
        <v>0.43</v>
      </c>
      <c r="T624" s="7" t="str">
        <f>IF(AllDataApr[[#This Row],[Phosphate (PPM)]]&gt;0.5, "Very high", IF(AllDataApr[[#This Row],[Phosphate (PPM)]]&gt;0.1, "High", IF(AllDataApr[[#This Row],[Phosphate (PPM)]]&gt;0.05, "Some evidence", IF(AllDataApr[[#This Row],[Phosphate (PPM)]]=0, ""))))</f>
        <v>High</v>
      </c>
      <c r="U624">
        <v>0.1</v>
      </c>
    </row>
    <row r="625" spans="1:22" x14ac:dyDescent="0.3">
      <c r="A625" t="s">
        <v>1243</v>
      </c>
      <c r="B625" s="2">
        <v>45403</v>
      </c>
      <c r="C625" s="2" t="str" cm="1">
        <f t="array" ref="C62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25">
        <f>YEAR(AllDataApr[[#This Row],[Date]])</f>
        <v>2024</v>
      </c>
      <c r="E625" s="1">
        <v>0.68125000000000002</v>
      </c>
      <c r="F625" s="2" t="str">
        <f>IF(AND(AllDataApr[[#This Row],[Time]]&lt;0.5, AllDataApr[[#This Row],[Time]]&gt;0.17)=TRUE, "Morning", IF(AND(AllDataApr[[#This Row],[Time]]&lt;0.75, AllDataApr[[#This Row],[Time]]&gt;=0.5)=TRUE, "Afternoon", IF(AND(AllDataApr[[#This Row],[Time]]&lt;1, AllDataApr[[#This Row],[Time]]&gt;=0.75)=TRUE, "Evening", "Night")))</f>
        <v>Afternoon</v>
      </c>
      <c r="G625" t="s">
        <v>11</v>
      </c>
      <c r="H625" t="str">
        <f>_xlfn.XLOOKUP(AllDataApr[[#This Row],[Location Name]], Locations[Row Labels],Locations[Group As])</f>
        <v>Black Bear</v>
      </c>
      <c r="I625" t="str">
        <f>_xlfn.XLOOKUP(AllDataApr[[#This Row],[Site Name]],LocationsKey[Site Name],LocationsKey[Region])</f>
        <v>Tewkesbury</v>
      </c>
      <c r="J625" t="str">
        <f>_xlfn.XLOOKUP(AllDataApr[[#This Row],[Site Name]],LocationsKey[Site Name], LocationsKey[Waterway])</f>
        <v>Avon</v>
      </c>
      <c r="K625" t="s">
        <v>231</v>
      </c>
      <c r="N625" t="s">
        <v>14</v>
      </c>
      <c r="O625" s="7">
        <v>790</v>
      </c>
      <c r="P625">
        <v>15.4</v>
      </c>
      <c r="Q625" s="7">
        <v>10</v>
      </c>
      <c r="R625" s="7" t="str">
        <f>IF(AllDataApr[[#This Row],[Nitrate (PPM)]]&gt;2, "Very high", IF(AllDataApr[[#This Row],[Nitrate (PPM)]]&gt;1, "High", IF(AllDataApr[[#This Row],[Nitrate (PPM)]]&gt;0.5, "Some evidence", IF(AllDataApr[[#This Row],[Nitrate (PPM)]]&gt;0, "No evidence", IF(AllDataApr[[#This Row],[Nitrate (PPM)]]=0, "")))))</f>
        <v>Very high</v>
      </c>
      <c r="S625" s="7">
        <v>0.45</v>
      </c>
      <c r="T625" s="7" t="str">
        <f>IF(AllDataApr[[#This Row],[Phosphate (PPM)]]&gt;0.5, "Very high", IF(AllDataApr[[#This Row],[Phosphate (PPM)]]&gt;0.1, "High", IF(AllDataApr[[#This Row],[Phosphate (PPM)]]&gt;0.05, "Some evidence", IF(AllDataApr[[#This Row],[Phosphate (PPM)]]=0, ""))))</f>
        <v>High</v>
      </c>
      <c r="U625">
        <v>0</v>
      </c>
    </row>
    <row r="626" spans="1:22" x14ac:dyDescent="0.3">
      <c r="A626" t="s">
        <v>1231</v>
      </c>
      <c r="B626" s="2">
        <v>45403</v>
      </c>
      <c r="C626" s="2" t="str" cm="1">
        <f t="array" ref="C62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26">
        <f>YEAR(AllDataApr[[#This Row],[Date]])</f>
        <v>2024</v>
      </c>
      <c r="E626" s="1">
        <v>0.73055555555555551</v>
      </c>
      <c r="F626" s="2" t="str">
        <f>IF(AND(AllDataApr[[#This Row],[Time]]&lt;0.5, AllDataApr[[#This Row],[Time]]&gt;0.17)=TRUE, "Morning", IF(AND(AllDataApr[[#This Row],[Time]]&lt;0.75, AllDataApr[[#This Row],[Time]]&gt;=0.5)=TRUE, "Afternoon", IF(AND(AllDataApr[[#This Row],[Time]]&lt;1, AllDataApr[[#This Row],[Time]]&gt;=0.75)=TRUE, "Evening", "Night")))</f>
        <v>Afternoon</v>
      </c>
      <c r="G626" t="s">
        <v>222</v>
      </c>
      <c r="H626" t="str">
        <f>_xlfn.XLOOKUP(AllDataApr[[#This Row],[Location Name]], Locations[Row Labels],Locations[Group As])</f>
        <v>Pershore Bridges</v>
      </c>
      <c r="I626" t="str">
        <f>_xlfn.XLOOKUP(AllDataApr[[#This Row],[Site Name]],LocationsKey[Site Name],LocationsKey[Region])</f>
        <v>Pershore</v>
      </c>
      <c r="J626" t="str">
        <f>_xlfn.XLOOKUP(AllDataApr[[#This Row],[Site Name]],LocationsKey[Site Name], LocationsKey[Waterway])</f>
        <v>Avon</v>
      </c>
      <c r="K626" t="s">
        <v>233</v>
      </c>
      <c r="L626">
        <v>52.104089999999999</v>
      </c>
      <c r="M626">
        <v>-2.0707499999999999</v>
      </c>
      <c r="O626" s="7">
        <v>877</v>
      </c>
      <c r="P626">
        <v>13.2</v>
      </c>
      <c r="Q626" s="7">
        <v>5</v>
      </c>
      <c r="R626" s="7" t="str">
        <f>IF(AllDataApr[[#This Row],[Nitrate (PPM)]]&gt;2, "Very high", IF(AllDataApr[[#This Row],[Nitrate (PPM)]]&gt;1, "High", IF(AllDataApr[[#This Row],[Nitrate (PPM)]]&gt;0.5, "Some evidence", IF(AllDataApr[[#This Row],[Nitrate (PPM)]]&gt;0, "No evidence", IF(AllDataApr[[#This Row],[Nitrate (PPM)]]=0, "")))))</f>
        <v>Very high</v>
      </c>
      <c r="S626" s="7">
        <v>0.46</v>
      </c>
      <c r="T626" s="7" t="str">
        <f>IF(AllDataApr[[#This Row],[Phosphate (PPM)]]&gt;0.5, "Very high", IF(AllDataApr[[#This Row],[Phosphate (PPM)]]&gt;0.1, "High", IF(AllDataApr[[#This Row],[Phosphate (PPM)]]&gt;0.05, "Some evidence", IF(AllDataApr[[#This Row],[Phosphate (PPM)]]=0, ""))))</f>
        <v>High</v>
      </c>
      <c r="U626">
        <v>3.38</v>
      </c>
    </row>
    <row r="627" spans="1:22" x14ac:dyDescent="0.3">
      <c r="A627" t="s">
        <v>1238</v>
      </c>
      <c r="B627" s="2">
        <v>45404</v>
      </c>
      <c r="C627" s="2" t="str" cm="1">
        <f t="array" ref="C62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27">
        <f>YEAR(AllDataApr[[#This Row],[Date]])</f>
        <v>2024</v>
      </c>
      <c r="E627" s="1">
        <v>0.36875000000000002</v>
      </c>
      <c r="F627" s="2" t="str">
        <f>IF(AND(AllDataApr[[#This Row],[Time]]&lt;0.5, AllDataApr[[#This Row],[Time]]&gt;0.17)=TRUE, "Morning", IF(AND(AllDataApr[[#This Row],[Time]]&lt;0.75, AllDataApr[[#This Row],[Time]]&gt;=0.5)=TRUE, "Afternoon", IF(AND(AllDataApr[[#This Row],[Time]]&lt;1, AllDataApr[[#This Row],[Time]]&gt;=0.75)=TRUE, "Evening", "Night")))</f>
        <v>Morning</v>
      </c>
      <c r="G627" t="s">
        <v>150</v>
      </c>
      <c r="H627" t="str">
        <f>_xlfn.XLOOKUP(AllDataApr[[#This Row],[Location Name]], Locations[Row Labels],Locations[Group As])</f>
        <v>Stour Stretton-on-Fosse Village</v>
      </c>
      <c r="I627" t="str">
        <f>_xlfn.XLOOKUP(AllDataApr[[#This Row],[Site Name]],LocationsKey[Site Name],LocationsKey[Region])</f>
        <v>Shipston</v>
      </c>
      <c r="J627" t="str">
        <f>_xlfn.XLOOKUP(AllDataApr[[#This Row],[Site Name]],LocationsKey[Site Name], LocationsKey[Waterway])</f>
        <v>Stour</v>
      </c>
      <c r="K627" t="s">
        <v>198</v>
      </c>
      <c r="L627">
        <v>52.046478</v>
      </c>
      <c r="M627">
        <v>-1.67333</v>
      </c>
      <c r="N627" t="s">
        <v>42</v>
      </c>
      <c r="O627" s="7">
        <v>732</v>
      </c>
      <c r="P627">
        <v>8.6</v>
      </c>
      <c r="Q627" s="7">
        <v>2</v>
      </c>
      <c r="R627" s="7" t="str">
        <f>IF(AllDataApr[[#This Row],[Nitrate (PPM)]]&gt;2, "Very high", IF(AllDataApr[[#This Row],[Nitrate (PPM)]]&gt;1, "High", IF(AllDataApr[[#This Row],[Nitrate (PPM)]]&gt;0.5, "Some evidence", IF(AllDataApr[[#This Row],[Nitrate (PPM)]]&gt;0, "No evidence", IF(AllDataApr[[#This Row],[Nitrate (PPM)]]=0, "")))))</f>
        <v>High</v>
      </c>
      <c r="S627" s="7">
        <v>2.5</v>
      </c>
      <c r="T627" s="7" t="str">
        <f>IF(AllDataApr[[#This Row],[Phosphate (PPM)]]&gt;0.5, "Very high", IF(AllDataApr[[#This Row],[Phosphate (PPM)]]&gt;0.1, "High", IF(AllDataApr[[#This Row],[Phosphate (PPM)]]&gt;0.05, "Some evidence", IF(AllDataApr[[#This Row],[Phosphate (PPM)]]=0, ""))))</f>
        <v>Very high</v>
      </c>
      <c r="U627">
        <v>0.2</v>
      </c>
    </row>
    <row r="628" spans="1:22" x14ac:dyDescent="0.3">
      <c r="A628" t="s">
        <v>1237</v>
      </c>
      <c r="B628" s="2">
        <v>45404</v>
      </c>
      <c r="C628" s="2" t="str" cm="1">
        <f t="array" ref="C62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28">
        <f>YEAR(AllDataApr[[#This Row],[Date]])</f>
        <v>2024</v>
      </c>
      <c r="E628" s="1">
        <v>0.375</v>
      </c>
      <c r="F628" s="2" t="str">
        <f>IF(AND(AllDataApr[[#This Row],[Time]]&lt;0.5, AllDataApr[[#This Row],[Time]]&gt;0.17)=TRUE, "Morning", IF(AND(AllDataApr[[#This Row],[Time]]&lt;0.75, AllDataApr[[#This Row],[Time]]&gt;=0.5)=TRUE, "Afternoon", IF(AND(AllDataApr[[#This Row],[Time]]&lt;1, AllDataApr[[#This Row],[Time]]&gt;=0.75)=TRUE, "Evening", "Night")))</f>
        <v>Morning</v>
      </c>
      <c r="G628" t="s">
        <v>150</v>
      </c>
      <c r="H628" t="str">
        <f>_xlfn.XLOOKUP(AllDataApr[[#This Row],[Location Name]], Locations[Row Labels],Locations[Group As])</f>
        <v>Stour Stretton-on-Fosse Sewage Works</v>
      </c>
      <c r="I628" t="str">
        <f>_xlfn.XLOOKUP(AllDataApr[[#This Row],[Site Name]],LocationsKey[Site Name],LocationsKey[Region])</f>
        <v>Shipston</v>
      </c>
      <c r="J628" t="str">
        <f>_xlfn.XLOOKUP(AllDataApr[[#This Row],[Site Name]],LocationsKey[Site Name], LocationsKey[Waterway])</f>
        <v>Stour</v>
      </c>
      <c r="K628" t="s">
        <v>151</v>
      </c>
      <c r="L628">
        <v>52.045648999999997</v>
      </c>
      <c r="M628">
        <v>-1.671883</v>
      </c>
      <c r="N628" t="s">
        <v>18</v>
      </c>
      <c r="O628" s="7">
        <v>798</v>
      </c>
      <c r="P628">
        <v>8.1999999999999993</v>
      </c>
      <c r="Q628" s="7">
        <v>2</v>
      </c>
      <c r="R628" s="7" t="str">
        <f>IF(AllDataApr[[#This Row],[Nitrate (PPM)]]&gt;2, "Very high", IF(AllDataApr[[#This Row],[Nitrate (PPM)]]&gt;1, "High", IF(AllDataApr[[#This Row],[Nitrate (PPM)]]&gt;0.5, "Some evidence", IF(AllDataApr[[#This Row],[Nitrate (PPM)]]&gt;0, "No evidence", IF(AllDataApr[[#This Row],[Nitrate (PPM)]]=0, "")))))</f>
        <v>High</v>
      </c>
      <c r="S628" s="7">
        <v>2.5</v>
      </c>
      <c r="T628" s="7" t="str">
        <f>IF(AllDataApr[[#This Row],[Phosphate (PPM)]]&gt;0.5, "Very high", IF(AllDataApr[[#This Row],[Phosphate (PPM)]]&gt;0.1, "High", IF(AllDataApr[[#This Row],[Phosphate (PPM)]]&gt;0.05, "Some evidence", IF(AllDataApr[[#This Row],[Phosphate (PPM)]]=0, ""))))</f>
        <v>Very high</v>
      </c>
      <c r="U628">
        <v>0.25</v>
      </c>
      <c r="V628" t="s">
        <v>1306</v>
      </c>
    </row>
    <row r="629" spans="1:22" x14ac:dyDescent="0.3">
      <c r="A629" t="s">
        <v>1235</v>
      </c>
      <c r="B629" s="2">
        <v>45404</v>
      </c>
      <c r="C629" s="2" t="str" cm="1">
        <f t="array" ref="C62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29">
        <f>YEAR(AllDataApr[[#This Row],[Date]])</f>
        <v>2024</v>
      </c>
      <c r="E629" s="1">
        <v>0.61805555555555558</v>
      </c>
      <c r="F629" s="2" t="str">
        <f>IF(AND(AllDataApr[[#This Row],[Time]]&lt;0.5, AllDataApr[[#This Row],[Time]]&gt;0.17)=TRUE, "Morning", IF(AND(AllDataApr[[#This Row],[Time]]&lt;0.75, AllDataApr[[#This Row],[Time]]&gt;=0.5)=TRUE, "Afternoon", IF(AND(AllDataApr[[#This Row],[Time]]&lt;1, AllDataApr[[#This Row],[Time]]&gt;=0.75)=TRUE, "Evening", "Night")))</f>
        <v>Afternoon</v>
      </c>
      <c r="G629" t="s">
        <v>139</v>
      </c>
      <c r="H629" t="str">
        <f>_xlfn.XLOOKUP(AllDataApr[[#This Row],[Location Name]], Locations[Row Labels],Locations[Group As])</f>
        <v>Alveston Weir</v>
      </c>
      <c r="I629" t="str">
        <f>_xlfn.XLOOKUP(AllDataApr[[#This Row],[Site Name]],LocationsKey[Site Name],LocationsKey[Region])</f>
        <v>Stratford</v>
      </c>
      <c r="J629" t="str">
        <f>_xlfn.XLOOKUP(AllDataApr[[#This Row],[Site Name]],LocationsKey[Site Name], LocationsKey[Waterway])</f>
        <v>Avon</v>
      </c>
      <c r="K629" t="s">
        <v>128</v>
      </c>
      <c r="L629">
        <v>52.214260000000003</v>
      </c>
      <c r="M629">
        <v>-1.660045</v>
      </c>
      <c r="N629" t="s">
        <v>18</v>
      </c>
      <c r="O629" s="7">
        <v>689</v>
      </c>
      <c r="P629">
        <v>12</v>
      </c>
      <c r="Q629" s="7">
        <v>10</v>
      </c>
      <c r="R629" s="7" t="str">
        <f>IF(AllDataApr[[#This Row],[Nitrate (PPM)]]&gt;2, "Very high", IF(AllDataApr[[#This Row],[Nitrate (PPM)]]&gt;1, "High", IF(AllDataApr[[#This Row],[Nitrate (PPM)]]&gt;0.5, "Some evidence", IF(AllDataApr[[#This Row],[Nitrate (PPM)]]&gt;0, "No evidence", IF(AllDataApr[[#This Row],[Nitrate (PPM)]]=0, "")))))</f>
        <v>Very high</v>
      </c>
      <c r="S629" s="7">
        <v>0.17</v>
      </c>
      <c r="T629" s="7" t="str">
        <f>IF(AllDataApr[[#This Row],[Phosphate (PPM)]]&gt;0.5, "Very high", IF(AllDataApr[[#This Row],[Phosphate (PPM)]]&gt;0.1, "High", IF(AllDataApr[[#This Row],[Phosphate (PPM)]]&gt;0.05, "Some evidence", IF(AllDataApr[[#This Row],[Phosphate (PPM)]]=0, ""))))</f>
        <v>High</v>
      </c>
      <c r="U629">
        <v>0</v>
      </c>
    </row>
    <row r="630" spans="1:22" x14ac:dyDescent="0.3">
      <c r="A630" t="s">
        <v>1234</v>
      </c>
      <c r="B630" s="2">
        <v>45404</v>
      </c>
      <c r="C630" s="2" t="str" cm="1">
        <f t="array" ref="C63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30">
        <f>YEAR(AllDataApr[[#This Row],[Date]])</f>
        <v>2024</v>
      </c>
      <c r="E630" s="1">
        <v>0.62152777777777779</v>
      </c>
      <c r="F630" s="2" t="str">
        <f>IF(AND(AllDataApr[[#This Row],[Time]]&lt;0.5, AllDataApr[[#This Row],[Time]]&gt;0.17)=TRUE, "Morning", IF(AND(AllDataApr[[#This Row],[Time]]&lt;0.75, AllDataApr[[#This Row],[Time]]&gt;=0.5)=TRUE, "Afternoon", IF(AND(AllDataApr[[#This Row],[Time]]&lt;1, AllDataApr[[#This Row],[Time]]&gt;=0.75)=TRUE, "Evening", "Night")))</f>
        <v>Afternoon</v>
      </c>
      <c r="G630" t="s">
        <v>156</v>
      </c>
      <c r="H630" t="str">
        <f>_xlfn.XLOOKUP(AllDataApr[[#This Row],[Location Name]], Locations[Row Labels],Locations[Group As])</f>
        <v>Swiffen Bank</v>
      </c>
      <c r="I630" t="str">
        <f>_xlfn.XLOOKUP(AllDataApr[[#This Row],[Site Name]],LocationsKey[Site Name],LocationsKey[Region])</f>
        <v>Stratford</v>
      </c>
      <c r="J630" t="str">
        <f>_xlfn.XLOOKUP(AllDataApr[[#This Row],[Site Name]],LocationsKey[Site Name], LocationsKey[Waterway])</f>
        <v>Avon</v>
      </c>
      <c r="K630" t="s">
        <v>130</v>
      </c>
      <c r="L630">
        <v>52.206477999999997</v>
      </c>
      <c r="M630">
        <v>-1.653894</v>
      </c>
      <c r="N630" t="s">
        <v>18</v>
      </c>
      <c r="O630" s="7">
        <v>685</v>
      </c>
      <c r="P630">
        <v>12</v>
      </c>
      <c r="Q630" s="7">
        <v>10</v>
      </c>
      <c r="R630" s="7" t="str">
        <f>IF(AllDataApr[[#This Row],[Nitrate (PPM)]]&gt;2, "Very high", IF(AllDataApr[[#This Row],[Nitrate (PPM)]]&gt;1, "High", IF(AllDataApr[[#This Row],[Nitrate (PPM)]]&gt;0.5, "Some evidence", IF(AllDataApr[[#This Row],[Nitrate (PPM)]]&gt;0, "No evidence", IF(AllDataApr[[#This Row],[Nitrate (PPM)]]=0, "")))))</f>
        <v>Very high</v>
      </c>
      <c r="S630" s="7">
        <v>0.35</v>
      </c>
      <c r="T630" s="7" t="str">
        <f>IF(AllDataApr[[#This Row],[Phosphate (PPM)]]&gt;0.5, "Very high", IF(AllDataApr[[#This Row],[Phosphate (PPM)]]&gt;0.1, "High", IF(AllDataApr[[#This Row],[Phosphate (PPM)]]&gt;0.05, "Some evidence", IF(AllDataApr[[#This Row],[Phosphate (PPM)]]=0, ""))))</f>
        <v>High</v>
      </c>
      <c r="U630">
        <v>0</v>
      </c>
      <c r="V630" t="s">
        <v>1305</v>
      </c>
    </row>
    <row r="631" spans="1:22" x14ac:dyDescent="0.3">
      <c r="A631" t="s">
        <v>1233</v>
      </c>
      <c r="B631" s="2">
        <v>45405</v>
      </c>
      <c r="C631" s="2" t="str" cm="1">
        <f t="array" ref="C63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31">
        <f>YEAR(AllDataApr[[#This Row],[Date]])</f>
        <v>2024</v>
      </c>
      <c r="E631" s="1">
        <v>0.45694444444444443</v>
      </c>
      <c r="F631" s="2" t="str">
        <f>IF(AND(AllDataApr[[#This Row],[Time]]&lt;0.5, AllDataApr[[#This Row],[Time]]&gt;0.17)=TRUE, "Morning", IF(AND(AllDataApr[[#This Row],[Time]]&lt;0.75, AllDataApr[[#This Row],[Time]]&gt;=0.5)=TRUE, "Afternoon", IF(AND(AllDataApr[[#This Row],[Time]]&lt;1, AllDataApr[[#This Row],[Time]]&gt;=0.75)=TRUE, "Evening", "Night")))</f>
        <v>Morning</v>
      </c>
      <c r="G631" t="s">
        <v>11</v>
      </c>
      <c r="H631" t="str">
        <f>_xlfn.XLOOKUP(AllDataApr[[#This Row],[Location Name]], Locations[Row Labels],Locations[Group As])</f>
        <v>Carrant M5 Bridge</v>
      </c>
      <c r="I631" t="str">
        <f>_xlfn.XLOOKUP(AllDataApr[[#This Row],[Site Name]],LocationsKey[Site Name],LocationsKey[Region])</f>
        <v>Tewkesbury</v>
      </c>
      <c r="J631" t="str">
        <f>_xlfn.XLOOKUP(AllDataApr[[#This Row],[Site Name]],LocationsKey[Site Name], LocationsKey[Waterway])</f>
        <v>Carrant</v>
      </c>
      <c r="K631" t="s">
        <v>1268</v>
      </c>
      <c r="L631">
        <v>52.011870000000002</v>
      </c>
      <c r="M631">
        <v>-2.120187</v>
      </c>
      <c r="N631" t="s">
        <v>14</v>
      </c>
      <c r="O631" s="7">
        <v>771</v>
      </c>
      <c r="P631">
        <v>11.1</v>
      </c>
      <c r="Q631" s="7">
        <v>5</v>
      </c>
      <c r="R631" s="7" t="str">
        <f>IF(AllDataApr[[#This Row],[Nitrate (PPM)]]&gt;2, "Very high", IF(AllDataApr[[#This Row],[Nitrate (PPM)]]&gt;1, "High", IF(AllDataApr[[#This Row],[Nitrate (PPM)]]&gt;0.5, "Some evidence", IF(AllDataApr[[#This Row],[Nitrate (PPM)]]&gt;0, "No evidence", IF(AllDataApr[[#This Row],[Nitrate (PPM)]]=0, "")))))</f>
        <v>Very high</v>
      </c>
      <c r="S631" s="7">
        <v>0.4</v>
      </c>
      <c r="T631" s="7" t="str">
        <f>IF(AllDataApr[[#This Row],[Phosphate (PPM)]]&gt;0.5, "Very high", IF(AllDataApr[[#This Row],[Phosphate (PPM)]]&gt;0.1, "High", IF(AllDataApr[[#This Row],[Phosphate (PPM)]]&gt;0.05, "Some evidence", IF(AllDataApr[[#This Row],[Phosphate (PPM)]]=0, ""))))</f>
        <v>High</v>
      </c>
      <c r="U631">
        <v>0</v>
      </c>
    </row>
    <row r="632" spans="1:22" x14ac:dyDescent="0.3">
      <c r="A632" t="s">
        <v>1232</v>
      </c>
      <c r="B632" s="2">
        <v>45405</v>
      </c>
      <c r="C632" s="2" t="str" cm="1">
        <f t="array" ref="C63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32">
        <f>YEAR(AllDataApr[[#This Row],[Date]])</f>
        <v>2024</v>
      </c>
      <c r="E632" s="1">
        <v>0.61527777777777781</v>
      </c>
      <c r="F632" s="2" t="str">
        <f>IF(AND(AllDataApr[[#This Row],[Time]]&lt;0.5, AllDataApr[[#This Row],[Time]]&gt;0.17)=TRUE, "Morning", IF(AND(AllDataApr[[#This Row],[Time]]&lt;0.75, AllDataApr[[#This Row],[Time]]&gt;=0.5)=TRUE, "Afternoon", IF(AND(AllDataApr[[#This Row],[Time]]&lt;1, AllDataApr[[#This Row],[Time]]&gt;=0.75)=TRUE, "Evening", "Night")))</f>
        <v>Afternoon</v>
      </c>
      <c r="G632" t="s">
        <v>274</v>
      </c>
      <c r="H632" t="str">
        <f>_xlfn.XLOOKUP(AllDataApr[[#This Row],[Location Name]], Locations[Row Labels],Locations[Group As])</f>
        <v>Abbey Mill</v>
      </c>
      <c r="I632" t="str">
        <f>_xlfn.XLOOKUP(AllDataApr[[#This Row],[Site Name]],LocationsKey[Site Name],LocationsKey[Region])</f>
        <v>Tewkesbury</v>
      </c>
      <c r="J632" t="str">
        <f>_xlfn.XLOOKUP(AllDataApr[[#This Row],[Site Name]],LocationsKey[Site Name], LocationsKey[Waterway])</f>
        <v>Avon</v>
      </c>
      <c r="K632" t="s">
        <v>13</v>
      </c>
      <c r="L632">
        <v>51.991256999999997</v>
      </c>
      <c r="M632">
        <v>-2.1625000000000001</v>
      </c>
      <c r="N632" t="s">
        <v>1270</v>
      </c>
      <c r="O632" s="7">
        <v>882</v>
      </c>
      <c r="P632">
        <v>13.7</v>
      </c>
      <c r="Q632" s="7">
        <v>7</v>
      </c>
      <c r="R632" s="7" t="str">
        <f>IF(AllDataApr[[#This Row],[Nitrate (PPM)]]&gt;2, "Very high", IF(AllDataApr[[#This Row],[Nitrate (PPM)]]&gt;1, "High", IF(AllDataApr[[#This Row],[Nitrate (PPM)]]&gt;0.5, "Some evidence", IF(AllDataApr[[#This Row],[Nitrate (PPM)]]&gt;0, "No evidence", IF(AllDataApr[[#This Row],[Nitrate (PPM)]]=0, "")))))</f>
        <v>Very high</v>
      </c>
      <c r="S632" s="7">
        <v>0.6</v>
      </c>
      <c r="T632" s="7" t="str">
        <f>IF(AllDataApr[[#This Row],[Phosphate (PPM)]]&gt;0.5, "Very high", IF(AllDataApr[[#This Row],[Phosphate (PPM)]]&gt;0.1, "High", IF(AllDataApr[[#This Row],[Phosphate (PPM)]]&gt;0.05, "Some evidence", IF(AllDataApr[[#This Row],[Phosphate (PPM)]]=0, ""))))</f>
        <v>Very high</v>
      </c>
      <c r="U632">
        <v>0.6</v>
      </c>
      <c r="V632" t="s">
        <v>1304</v>
      </c>
    </row>
    <row r="633" spans="1:22" x14ac:dyDescent="0.3">
      <c r="A633" t="s">
        <v>1212</v>
      </c>
      <c r="B633" s="2">
        <v>45407</v>
      </c>
      <c r="C633" s="2" t="str" cm="1">
        <f t="array" ref="C63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33">
        <f>YEAR(AllDataApr[[#This Row],[Date]])</f>
        <v>2024</v>
      </c>
      <c r="E633" s="1">
        <v>0.4375</v>
      </c>
      <c r="F633" s="2" t="str">
        <f>IF(AND(AllDataApr[[#This Row],[Time]]&lt;0.5, AllDataApr[[#This Row],[Time]]&gt;0.17)=TRUE, "Morning", IF(AND(AllDataApr[[#This Row],[Time]]&lt;0.75, AllDataApr[[#This Row],[Time]]&gt;=0.5)=TRUE, "Afternoon", IF(AND(AllDataApr[[#This Row],[Time]]&lt;1, AllDataApr[[#This Row],[Time]]&gt;=0.75)=TRUE, "Evening", "Night")))</f>
        <v>Morning</v>
      </c>
      <c r="G633" t="s">
        <v>220</v>
      </c>
      <c r="H633" t="str">
        <f>_xlfn.XLOOKUP(AllDataApr[[#This Row],[Location Name]], Locations[Row Labels],Locations[Group As])</f>
        <v>Stour Willington</v>
      </c>
      <c r="I633" t="str">
        <f>_xlfn.XLOOKUP(AllDataApr[[#This Row],[Site Name]],LocationsKey[Site Name],LocationsKey[Region])</f>
        <v>Shipston</v>
      </c>
      <c r="J633" t="str">
        <f>_xlfn.XLOOKUP(AllDataApr[[#This Row],[Site Name]],LocationsKey[Site Name], LocationsKey[Waterway])</f>
        <v>Stour</v>
      </c>
      <c r="K633" t="s">
        <v>197</v>
      </c>
      <c r="L633">
        <v>52.053561000000002</v>
      </c>
      <c r="M633">
        <v>-1.620147</v>
      </c>
      <c r="N633">
        <v>0</v>
      </c>
      <c r="O633" s="7">
        <v>611</v>
      </c>
      <c r="P633">
        <v>10.1</v>
      </c>
      <c r="Q633" s="7">
        <v>5</v>
      </c>
      <c r="R633" s="7" t="str">
        <f>IF(AllDataApr[[#This Row],[Nitrate (PPM)]]&gt;2, "Very high", IF(AllDataApr[[#This Row],[Nitrate (PPM)]]&gt;1, "High", IF(AllDataApr[[#This Row],[Nitrate (PPM)]]&gt;0.5, "Some evidence", IF(AllDataApr[[#This Row],[Nitrate (PPM)]]&gt;0, "No evidence", IF(AllDataApr[[#This Row],[Nitrate (PPM)]]=0, "")))))</f>
        <v>Very high</v>
      </c>
      <c r="S633" s="7">
        <v>0.13</v>
      </c>
      <c r="T633" s="7" t="str">
        <f>IF(AllDataApr[[#This Row],[Phosphate (PPM)]]&gt;0.5, "Very high", IF(AllDataApr[[#This Row],[Phosphate (PPM)]]&gt;0.1, "High", IF(AllDataApr[[#This Row],[Phosphate (PPM)]]&gt;0.05, "Some evidence", IF(AllDataApr[[#This Row],[Phosphate (PPM)]]=0, ""))))</f>
        <v>High</v>
      </c>
      <c r="U633">
        <v>0.5</v>
      </c>
    </row>
    <row r="634" spans="1:22" x14ac:dyDescent="0.3">
      <c r="A634" t="s">
        <v>1230</v>
      </c>
      <c r="B634" s="2">
        <v>45407</v>
      </c>
      <c r="C634" s="2" t="str" cm="1">
        <f t="array" ref="C63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34">
        <f>YEAR(AllDataApr[[#This Row],[Date]])</f>
        <v>2024</v>
      </c>
      <c r="E634" s="1">
        <v>0.52083333333333337</v>
      </c>
      <c r="F634" s="2" t="str">
        <f>IF(AND(AllDataApr[[#This Row],[Time]]&lt;0.5, AllDataApr[[#This Row],[Time]]&gt;0.17)=TRUE, "Morning", IF(AND(AllDataApr[[#This Row],[Time]]&lt;0.75, AllDataApr[[#This Row],[Time]]&gt;=0.5)=TRUE, "Afternoon", IF(AND(AllDataApr[[#This Row],[Time]]&lt;1, AllDataApr[[#This Row],[Time]]&gt;=0.75)=TRUE, "Evening", "Night")))</f>
        <v>Afternoon</v>
      </c>
      <c r="G634" t="s">
        <v>46</v>
      </c>
      <c r="H634" t="str">
        <f>_xlfn.XLOOKUP(AllDataApr[[#This Row],[Location Name]], Locations[Row Labels],Locations[Group As])</f>
        <v>Swilgate</v>
      </c>
      <c r="I634" t="str">
        <f>_xlfn.XLOOKUP(AllDataApr[[#This Row],[Site Name]],LocationsKey[Site Name],LocationsKey[Region])</f>
        <v>Tewkesbury</v>
      </c>
      <c r="J634" t="str">
        <f>_xlfn.XLOOKUP(AllDataApr[[#This Row],[Site Name]],LocationsKey[Site Name], LocationsKey[Waterway])</f>
        <v>Swilgate</v>
      </c>
      <c r="K634" t="s">
        <v>47</v>
      </c>
      <c r="N634" t="s">
        <v>14</v>
      </c>
      <c r="O634" s="7">
        <v>954</v>
      </c>
      <c r="P634">
        <v>10.6</v>
      </c>
      <c r="Q634" s="7">
        <v>5</v>
      </c>
      <c r="R634" s="7" t="str">
        <f>IF(AllDataApr[[#This Row],[Nitrate (PPM)]]&gt;2, "Very high", IF(AllDataApr[[#This Row],[Nitrate (PPM)]]&gt;1, "High", IF(AllDataApr[[#This Row],[Nitrate (PPM)]]&gt;0.5, "Some evidence", IF(AllDataApr[[#This Row],[Nitrate (PPM)]]&gt;0, "No evidence", IF(AllDataApr[[#This Row],[Nitrate (PPM)]]=0, "")))))</f>
        <v>Very high</v>
      </c>
      <c r="S634" s="7">
        <v>0.38</v>
      </c>
      <c r="T634" s="7" t="str">
        <f>IF(AllDataApr[[#This Row],[Phosphate (PPM)]]&gt;0.5, "Very high", IF(AllDataApr[[#This Row],[Phosphate (PPM)]]&gt;0.1, "High", IF(AllDataApr[[#This Row],[Phosphate (PPM)]]&gt;0.05, "Some evidence", IF(AllDataApr[[#This Row],[Phosphate (PPM)]]=0, ""))))</f>
        <v>High</v>
      </c>
      <c r="U634">
        <v>0</v>
      </c>
    </row>
    <row r="635" spans="1:22" x14ac:dyDescent="0.3">
      <c r="A635" t="s">
        <v>1229</v>
      </c>
      <c r="B635" s="2">
        <v>45408</v>
      </c>
      <c r="C635" s="2" t="str" cm="1">
        <f t="array" ref="C63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35">
        <f>YEAR(AllDataApr[[#This Row],[Date]])</f>
        <v>2024</v>
      </c>
      <c r="E635" s="1">
        <v>0.47361111111111109</v>
      </c>
      <c r="F635" s="2" t="str">
        <f>IF(AND(AllDataApr[[#This Row],[Time]]&lt;0.5, AllDataApr[[#This Row],[Time]]&gt;0.17)=TRUE, "Morning", IF(AND(AllDataApr[[#This Row],[Time]]&lt;0.75, AllDataApr[[#This Row],[Time]]&gt;=0.5)=TRUE, "Afternoon", IF(AND(AllDataApr[[#This Row],[Time]]&lt;1, AllDataApr[[#This Row],[Time]]&gt;=0.75)=TRUE, "Evening", "Night")))</f>
        <v>Morning</v>
      </c>
      <c r="G635" t="s">
        <v>59</v>
      </c>
      <c r="H635" t="str">
        <f>_xlfn.XLOOKUP(AllDataApr[[#This Row],[Location Name]], Locations[Row Labels],Locations[Group As])</f>
        <v>Preston-on-Stour River Bridge</v>
      </c>
      <c r="I635" t="str">
        <f>_xlfn.XLOOKUP(AllDataApr[[#This Row],[Site Name]],LocationsKey[Site Name],LocationsKey[Region])</f>
        <v>Stratford</v>
      </c>
      <c r="J635" t="str">
        <f>_xlfn.XLOOKUP(AllDataApr[[#This Row],[Site Name]],LocationsKey[Site Name], LocationsKey[Waterway])</f>
        <v>Stour</v>
      </c>
      <c r="K635" t="s">
        <v>78</v>
      </c>
      <c r="L635">
        <v>52.146261000000003</v>
      </c>
      <c r="M635">
        <v>-1.6998660000000001</v>
      </c>
      <c r="N635" t="s">
        <v>18</v>
      </c>
      <c r="O635" s="7">
        <v>653</v>
      </c>
      <c r="P635">
        <v>10.9</v>
      </c>
      <c r="Q635" s="7">
        <v>7</v>
      </c>
      <c r="R635" s="7" t="str">
        <f>IF(AllDataApr[[#This Row],[Nitrate (PPM)]]&gt;2, "Very high", IF(AllDataApr[[#This Row],[Nitrate (PPM)]]&gt;1, "High", IF(AllDataApr[[#This Row],[Nitrate (PPM)]]&gt;0.5, "Some evidence", IF(AllDataApr[[#This Row],[Nitrate (PPM)]]&gt;0, "No evidence", IF(AllDataApr[[#This Row],[Nitrate (PPM)]]=0, "")))))</f>
        <v>Very high</v>
      </c>
      <c r="S635" s="7">
        <v>0.16</v>
      </c>
      <c r="T635" s="7" t="str">
        <f>IF(AllDataApr[[#This Row],[Phosphate (PPM)]]&gt;0.5, "Very high", IF(AllDataApr[[#This Row],[Phosphate (PPM)]]&gt;0.1, "High", IF(AllDataApr[[#This Row],[Phosphate (PPM)]]&gt;0.05, "Some evidence", IF(AllDataApr[[#This Row],[Phosphate (PPM)]]=0, ""))))</f>
        <v>High</v>
      </c>
      <c r="U635">
        <v>1.5</v>
      </c>
    </row>
    <row r="636" spans="1:22" x14ac:dyDescent="0.3">
      <c r="A636" t="s">
        <v>1228</v>
      </c>
      <c r="B636" s="2">
        <v>45408</v>
      </c>
      <c r="C636" s="2" t="str" cm="1">
        <f t="array" ref="C63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36">
        <f>YEAR(AllDataApr[[#This Row],[Date]])</f>
        <v>2024</v>
      </c>
      <c r="E636" s="1">
        <v>0.63888888888888884</v>
      </c>
      <c r="F636" s="2" t="str">
        <f>IF(AND(AllDataApr[[#This Row],[Time]]&lt;0.5, AllDataApr[[#This Row],[Time]]&gt;0.17)=TRUE, "Morning", IF(AND(AllDataApr[[#This Row],[Time]]&lt;0.75, AllDataApr[[#This Row],[Time]]&gt;=0.5)=TRUE, "Afternoon", IF(AND(AllDataApr[[#This Row],[Time]]&lt;1, AllDataApr[[#This Row],[Time]]&gt;=0.75)=TRUE, "Evening", "Night")))</f>
        <v>Afternoon</v>
      </c>
      <c r="G636" t="s">
        <v>221</v>
      </c>
      <c r="H636" t="str">
        <f>_xlfn.XLOOKUP(AllDataApr[[#This Row],[Location Name]], Locations[Row Labels],Locations[Group As])</f>
        <v>Lower Lode</v>
      </c>
      <c r="I636" t="str">
        <f>_xlfn.XLOOKUP(AllDataApr[[#This Row],[Site Name]],LocationsKey[Site Name],LocationsKey[Region])</f>
        <v>Tewkesbury</v>
      </c>
      <c r="J636" t="str">
        <f>_xlfn.XLOOKUP(AllDataApr[[#This Row],[Site Name]],LocationsKey[Site Name], LocationsKey[Waterway])</f>
        <v>Avon</v>
      </c>
      <c r="K636" t="s">
        <v>234</v>
      </c>
      <c r="L636">
        <v>51.985005999999998</v>
      </c>
      <c r="M636">
        <v>-2.1742490000000001</v>
      </c>
      <c r="N636" t="s">
        <v>18</v>
      </c>
      <c r="O636" s="7">
        <v>8560</v>
      </c>
      <c r="P636">
        <v>13.1</v>
      </c>
      <c r="Q636" s="7">
        <v>10</v>
      </c>
      <c r="R636" s="7" t="str">
        <f>IF(AllDataApr[[#This Row],[Nitrate (PPM)]]&gt;2, "Very high", IF(AllDataApr[[#This Row],[Nitrate (PPM)]]&gt;1, "High", IF(AllDataApr[[#This Row],[Nitrate (PPM)]]&gt;0.5, "Some evidence", IF(AllDataApr[[#This Row],[Nitrate (PPM)]]&gt;0, "No evidence", IF(AllDataApr[[#This Row],[Nitrate (PPM)]]=0, "")))))</f>
        <v>Very high</v>
      </c>
      <c r="S636" s="7">
        <v>0.82</v>
      </c>
      <c r="T636" s="7" t="str">
        <f>IF(AllDataApr[[#This Row],[Phosphate (PPM)]]&gt;0.5, "Very high", IF(AllDataApr[[#This Row],[Phosphate (PPM)]]&gt;0.1, "High", IF(AllDataApr[[#This Row],[Phosphate (PPM)]]&gt;0.05, "Some evidence", IF(AllDataApr[[#This Row],[Phosphate (PPM)]]=0, ""))))</f>
        <v>Very high</v>
      </c>
      <c r="U636">
        <v>2</v>
      </c>
    </row>
    <row r="637" spans="1:22" x14ac:dyDescent="0.3">
      <c r="A637" t="s">
        <v>1227</v>
      </c>
      <c r="B637" s="2">
        <v>45408</v>
      </c>
      <c r="C637" s="2" t="str" cm="1">
        <f t="array" ref="C63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37">
        <f>YEAR(AllDataApr[[#This Row],[Date]])</f>
        <v>2024</v>
      </c>
      <c r="E637" s="1">
        <v>0.74722222222222223</v>
      </c>
      <c r="F637" s="2" t="str">
        <f>IF(AND(AllDataApr[[#This Row],[Time]]&lt;0.5, AllDataApr[[#This Row],[Time]]&gt;0.17)=TRUE, "Morning", IF(AND(AllDataApr[[#This Row],[Time]]&lt;0.75, AllDataApr[[#This Row],[Time]]&gt;=0.5)=TRUE, "Afternoon", IF(AND(AllDataApr[[#This Row],[Time]]&lt;1, AllDataApr[[#This Row],[Time]]&gt;=0.75)=TRUE, "Evening", "Night")))</f>
        <v>Afternoon</v>
      </c>
      <c r="G637" t="s">
        <v>11</v>
      </c>
      <c r="H637" t="str">
        <f>_xlfn.XLOOKUP(AllDataApr[[#This Row],[Location Name]], Locations[Row Labels],Locations[Group As])</f>
        <v>Carrant Mitton Path</v>
      </c>
      <c r="I637" t="str">
        <f>_xlfn.XLOOKUP(AllDataApr[[#This Row],[Site Name]],LocationsKey[Site Name],LocationsKey[Region])</f>
        <v>Tewkesbury</v>
      </c>
      <c r="J637" t="str">
        <f>_xlfn.XLOOKUP(AllDataApr[[#This Row],[Site Name]],LocationsKey[Site Name], LocationsKey[Waterway])</f>
        <v>Carrant</v>
      </c>
      <c r="K637" t="s">
        <v>914</v>
      </c>
      <c r="N637" t="s">
        <v>14</v>
      </c>
      <c r="O637" s="7">
        <v>675</v>
      </c>
      <c r="P637">
        <v>14</v>
      </c>
      <c r="Q637" s="7">
        <v>5</v>
      </c>
      <c r="R637" s="7" t="str">
        <f>IF(AllDataApr[[#This Row],[Nitrate (PPM)]]&gt;2, "Very high", IF(AllDataApr[[#This Row],[Nitrate (PPM)]]&gt;1, "High", IF(AllDataApr[[#This Row],[Nitrate (PPM)]]&gt;0.5, "Some evidence", IF(AllDataApr[[#This Row],[Nitrate (PPM)]]&gt;0, "No evidence", IF(AllDataApr[[#This Row],[Nitrate (PPM)]]=0, "")))))</f>
        <v>Very high</v>
      </c>
      <c r="S637" s="7">
        <v>0.27</v>
      </c>
      <c r="T637" s="7" t="str">
        <f>IF(AllDataApr[[#This Row],[Phosphate (PPM)]]&gt;0.5, "Very high", IF(AllDataApr[[#This Row],[Phosphate (PPM)]]&gt;0.1, "High", IF(AllDataApr[[#This Row],[Phosphate (PPM)]]&gt;0.05, "Some evidence", IF(AllDataApr[[#This Row],[Phosphate (PPM)]]=0, ""))))</f>
        <v>High</v>
      </c>
      <c r="U637">
        <v>0</v>
      </c>
    </row>
    <row r="638" spans="1:22" x14ac:dyDescent="0.3">
      <c r="A638" t="s">
        <v>1225</v>
      </c>
      <c r="B638" s="2">
        <v>45409</v>
      </c>
      <c r="C638" s="2" t="str" cm="1">
        <f t="array" ref="C63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38">
        <f>YEAR(AllDataApr[[#This Row],[Date]])</f>
        <v>2024</v>
      </c>
      <c r="E638" s="1">
        <v>0.36319444444444443</v>
      </c>
      <c r="F638" s="2" t="str">
        <f>IF(AND(AllDataApr[[#This Row],[Time]]&lt;0.5, AllDataApr[[#This Row],[Time]]&gt;0.17)=TRUE, "Morning", IF(AND(AllDataApr[[#This Row],[Time]]&lt;0.75, AllDataApr[[#This Row],[Time]]&gt;=0.5)=TRUE, "Afternoon", IF(AND(AllDataApr[[#This Row],[Time]]&lt;1, AllDataApr[[#This Row],[Time]]&gt;=0.75)=TRUE, "Evening", "Night")))</f>
        <v>Morning</v>
      </c>
      <c r="G638" t="s">
        <v>901</v>
      </c>
      <c r="H638" t="str">
        <f>_xlfn.XLOOKUP(AllDataApr[[#This Row],[Location Name]], Locations[Row Labels],Locations[Group As])</f>
        <v>Stour Whichford</v>
      </c>
      <c r="I638" t="str">
        <f>_xlfn.XLOOKUP(AllDataApr[[#This Row],[Site Name]],LocationsKey[Site Name],LocationsKey[Region])</f>
        <v>Shipston</v>
      </c>
      <c r="J638" t="str">
        <f>_xlfn.XLOOKUP(AllDataApr[[#This Row],[Site Name]],LocationsKey[Site Name], LocationsKey[Waterway])</f>
        <v>Stour</v>
      </c>
      <c r="K638" t="s">
        <v>912</v>
      </c>
      <c r="N638" t="s">
        <v>18</v>
      </c>
      <c r="O638" s="7">
        <v>6.2</v>
      </c>
      <c r="P638">
        <v>9.1999999999999993</v>
      </c>
      <c r="Q638" s="7">
        <v>4.5</v>
      </c>
      <c r="R638" s="7" t="str">
        <f>IF(AllDataApr[[#This Row],[Nitrate (PPM)]]&gt;2, "Very high", IF(AllDataApr[[#This Row],[Nitrate (PPM)]]&gt;1, "High", IF(AllDataApr[[#This Row],[Nitrate (PPM)]]&gt;0.5, "Some evidence", IF(AllDataApr[[#This Row],[Nitrate (PPM)]]&gt;0, "No evidence", IF(AllDataApr[[#This Row],[Nitrate (PPM)]]=0, "")))))</f>
        <v>Very high</v>
      </c>
      <c r="S638" s="7">
        <v>0.33</v>
      </c>
      <c r="T638" s="7" t="str">
        <f>IF(AllDataApr[[#This Row],[Phosphate (PPM)]]&gt;0.5, "Very high", IF(AllDataApr[[#This Row],[Phosphate (PPM)]]&gt;0.1, "High", IF(AllDataApr[[#This Row],[Phosphate (PPM)]]&gt;0.05, "Some evidence", IF(AllDataApr[[#This Row],[Phosphate (PPM)]]=0, ""))))</f>
        <v>High</v>
      </c>
      <c r="U638">
        <v>15</v>
      </c>
    </row>
    <row r="639" spans="1:22" x14ac:dyDescent="0.3">
      <c r="A639" t="s">
        <v>1226</v>
      </c>
      <c r="B639" s="2">
        <v>45409</v>
      </c>
      <c r="C639" s="2" t="str" cm="1">
        <f t="array" ref="C63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39">
        <f>YEAR(AllDataApr[[#This Row],[Date]])</f>
        <v>2024</v>
      </c>
      <c r="E639" s="1">
        <v>0.38194444444444442</v>
      </c>
      <c r="F639" s="2" t="str">
        <f>IF(AND(AllDataApr[[#This Row],[Time]]&lt;0.5, AllDataApr[[#This Row],[Time]]&gt;0.17)=TRUE, "Morning", IF(AND(AllDataApr[[#This Row],[Time]]&lt;0.75, AllDataApr[[#This Row],[Time]]&gt;=0.5)=TRUE, "Afternoon", IF(AND(AllDataApr[[#This Row],[Time]]&lt;1, AllDataApr[[#This Row],[Time]]&gt;=0.75)=TRUE, "Evening", "Night")))</f>
        <v>Morning</v>
      </c>
      <c r="G639" t="s">
        <v>901</v>
      </c>
      <c r="H639" t="str">
        <f>_xlfn.XLOOKUP(AllDataApr[[#This Row],[Location Name]], Locations[Row Labels],Locations[Group As])</f>
        <v>Stour Ascott Village</v>
      </c>
      <c r="I639" t="str">
        <f>_xlfn.XLOOKUP(AllDataApr[[#This Row],[Site Name]],LocationsKey[Site Name],LocationsKey[Region])</f>
        <v>Shipston</v>
      </c>
      <c r="J639" t="str">
        <f>_xlfn.XLOOKUP(AllDataApr[[#This Row],[Site Name]],LocationsKey[Site Name], LocationsKey[Waterway])</f>
        <v>Stour</v>
      </c>
      <c r="K639" t="s">
        <v>911</v>
      </c>
      <c r="N639" t="s">
        <v>42</v>
      </c>
      <c r="O639" s="7">
        <v>56.7</v>
      </c>
      <c r="P639">
        <v>9.1</v>
      </c>
      <c r="Q639" s="7">
        <v>1.05</v>
      </c>
      <c r="R639" s="7" t="str">
        <f>IF(AllDataApr[[#This Row],[Nitrate (PPM)]]&gt;2, "Very high", IF(AllDataApr[[#This Row],[Nitrate (PPM)]]&gt;1, "High", IF(AllDataApr[[#This Row],[Nitrate (PPM)]]&gt;0.5, "Some evidence", IF(AllDataApr[[#This Row],[Nitrate (PPM)]]&gt;0, "No evidence", IF(AllDataApr[[#This Row],[Nitrate (PPM)]]=0, "")))))</f>
        <v>High</v>
      </c>
      <c r="S639" s="7">
        <v>0.15</v>
      </c>
      <c r="T639" s="7" t="str">
        <f>IF(AllDataApr[[#This Row],[Phosphate (PPM)]]&gt;0.5, "Very high", IF(AllDataApr[[#This Row],[Phosphate (PPM)]]&gt;0.1, "High", IF(AllDataApr[[#This Row],[Phosphate (PPM)]]&gt;0.05, "Some evidence", IF(AllDataApr[[#This Row],[Phosphate (PPM)]]=0, ""))))</f>
        <v>High</v>
      </c>
      <c r="U639">
        <v>12</v>
      </c>
      <c r="V639" t="s">
        <v>1303</v>
      </c>
    </row>
    <row r="640" spans="1:22" x14ac:dyDescent="0.3">
      <c r="A640" t="s">
        <v>1221</v>
      </c>
      <c r="B640" s="2">
        <v>45409</v>
      </c>
      <c r="C640" s="2" t="str" cm="1">
        <f t="array" ref="C64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40">
        <f>YEAR(AllDataApr[[#This Row],[Date]])</f>
        <v>2024</v>
      </c>
      <c r="E640" s="1">
        <v>0.51041666666666663</v>
      </c>
      <c r="F640" s="2" t="str">
        <f>IF(AND(AllDataApr[[#This Row],[Time]]&lt;0.5, AllDataApr[[#This Row],[Time]]&gt;0.17)=TRUE, "Morning", IF(AND(AllDataApr[[#This Row],[Time]]&lt;0.75, AllDataApr[[#This Row],[Time]]&gt;=0.5)=TRUE, "Afternoon", IF(AND(AllDataApr[[#This Row],[Time]]&lt;1, AllDataApr[[#This Row],[Time]]&gt;=0.75)=TRUE, "Evening", "Night")))</f>
        <v>Afternoon</v>
      </c>
      <c r="G640" t="s">
        <v>52</v>
      </c>
      <c r="H640" t="str">
        <f>_xlfn.XLOOKUP(AllDataApr[[#This Row],[Location Name]], Locations[Row Labels],Locations[Group As])</f>
        <v>Carrant Bredon Rd</v>
      </c>
      <c r="I640" t="str">
        <f>_xlfn.XLOOKUP(AllDataApr[[#This Row],[Site Name]],LocationsKey[Site Name],LocationsKey[Region])</f>
        <v>Tewkesbury</v>
      </c>
      <c r="J640" t="str">
        <f>_xlfn.XLOOKUP(AllDataApr[[#This Row],[Site Name]],LocationsKey[Site Name], LocationsKey[Waterway])</f>
        <v>Carrant</v>
      </c>
      <c r="K640" t="s">
        <v>179</v>
      </c>
      <c r="L640">
        <v>51.996184</v>
      </c>
      <c r="M640">
        <v>-2.1561520000000001</v>
      </c>
      <c r="N640" t="s">
        <v>200</v>
      </c>
      <c r="O640" s="7">
        <v>738</v>
      </c>
      <c r="P640">
        <v>10.7</v>
      </c>
      <c r="Q640" s="7">
        <v>6</v>
      </c>
      <c r="R640" s="7" t="str">
        <f>IF(AllDataApr[[#This Row],[Nitrate (PPM)]]&gt;2, "Very high", IF(AllDataApr[[#This Row],[Nitrate (PPM)]]&gt;1, "High", IF(AllDataApr[[#This Row],[Nitrate (PPM)]]&gt;0.5, "Some evidence", IF(AllDataApr[[#This Row],[Nitrate (PPM)]]&gt;0, "No evidence", IF(AllDataApr[[#This Row],[Nitrate (PPM)]]=0, "")))))</f>
        <v>Very high</v>
      </c>
      <c r="S640" s="7">
        <v>0.3</v>
      </c>
      <c r="T640" s="7" t="str">
        <f>IF(AllDataApr[[#This Row],[Phosphate (PPM)]]&gt;0.5, "Very high", IF(AllDataApr[[#This Row],[Phosphate (PPM)]]&gt;0.1, "High", IF(AllDataApr[[#This Row],[Phosphate (PPM)]]&gt;0.05, "Some evidence", IF(AllDataApr[[#This Row],[Phosphate (PPM)]]=0, ""))))</f>
        <v>High</v>
      </c>
      <c r="U640">
        <v>0.06</v>
      </c>
    </row>
    <row r="641" spans="1:22" x14ac:dyDescent="0.3">
      <c r="A641" t="s">
        <v>1224</v>
      </c>
      <c r="B641" s="2">
        <v>45409</v>
      </c>
      <c r="C641" s="2" t="str" cm="1">
        <f t="array" ref="C64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41">
        <f>YEAR(AllDataApr[[#This Row],[Date]])</f>
        <v>2024</v>
      </c>
      <c r="E641" s="1">
        <v>0.61458333333333337</v>
      </c>
      <c r="F641" s="2" t="str">
        <f>IF(AND(AllDataApr[[#This Row],[Time]]&lt;0.5, AllDataApr[[#This Row],[Time]]&gt;0.17)=TRUE, "Morning", IF(AND(AllDataApr[[#This Row],[Time]]&lt;0.75, AllDataApr[[#This Row],[Time]]&gt;=0.5)=TRUE, "Afternoon", IF(AND(AllDataApr[[#This Row],[Time]]&lt;1, AllDataApr[[#This Row],[Time]]&gt;=0.75)=TRUE, "Evening", "Night")))</f>
        <v>Afternoon</v>
      </c>
      <c r="G641" t="s">
        <v>1264</v>
      </c>
      <c r="H641" t="str">
        <f>_xlfn.XLOOKUP(AllDataApr[[#This Row],[Location Name]], Locations[Row Labels],Locations[Group As])</f>
        <v>Avon Smiths Meadow Wyre Piddle</v>
      </c>
      <c r="I641" t="str">
        <f>_xlfn.XLOOKUP(AllDataApr[[#This Row],[Site Name]],LocationsKey[Site Name],LocationsKey[Region])</f>
        <v>Pershore</v>
      </c>
      <c r="J641" t="str">
        <f>_xlfn.XLOOKUP(AllDataApr[[#This Row],[Site Name]],LocationsKey[Site Name], LocationsKey[Waterway])</f>
        <v>Avon</v>
      </c>
      <c r="K641" t="s">
        <v>909</v>
      </c>
      <c r="L641">
        <v>52.122858999999998</v>
      </c>
      <c r="M641">
        <v>-2.0575389999999998</v>
      </c>
      <c r="N641" t="s">
        <v>14</v>
      </c>
      <c r="O641" s="7">
        <v>892</v>
      </c>
      <c r="P641">
        <v>11.7</v>
      </c>
      <c r="Q641" s="7">
        <v>6</v>
      </c>
      <c r="R641" s="7" t="str">
        <f>IF(AllDataApr[[#This Row],[Nitrate (PPM)]]&gt;2, "Very high", IF(AllDataApr[[#This Row],[Nitrate (PPM)]]&gt;1, "High", IF(AllDataApr[[#This Row],[Nitrate (PPM)]]&gt;0.5, "Some evidence", IF(AllDataApr[[#This Row],[Nitrate (PPM)]]&gt;0, "No evidence", IF(AllDataApr[[#This Row],[Nitrate (PPM)]]=0, "")))))</f>
        <v>Very high</v>
      </c>
      <c r="S641" s="7">
        <v>0.37</v>
      </c>
      <c r="T641" s="7" t="str">
        <f>IF(AllDataApr[[#This Row],[Phosphate (PPM)]]&gt;0.5, "Very high", IF(AllDataApr[[#This Row],[Phosphate (PPM)]]&gt;0.1, "High", IF(AllDataApr[[#This Row],[Phosphate (PPM)]]&gt;0.05, "Some evidence", IF(AllDataApr[[#This Row],[Phosphate (PPM)]]=0, ""))))</f>
        <v>High</v>
      </c>
      <c r="U641">
        <v>0.65</v>
      </c>
      <c r="V641" t="s">
        <v>1302</v>
      </c>
    </row>
    <row r="642" spans="1:22" x14ac:dyDescent="0.3">
      <c r="A642" t="s">
        <v>1223</v>
      </c>
      <c r="B642" s="2">
        <v>45409</v>
      </c>
      <c r="C642" s="2" t="str" cm="1">
        <f t="array" ref="C64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42">
        <f>YEAR(AllDataApr[[#This Row],[Date]])</f>
        <v>2024</v>
      </c>
      <c r="E642" s="1">
        <v>0.64583333333333337</v>
      </c>
      <c r="F642" s="2" t="str">
        <f>IF(AND(AllDataApr[[#This Row],[Time]]&lt;0.5, AllDataApr[[#This Row],[Time]]&gt;0.17)=TRUE, "Morning", IF(AND(AllDataApr[[#This Row],[Time]]&lt;0.75, AllDataApr[[#This Row],[Time]]&gt;=0.5)=TRUE, "Afternoon", IF(AND(AllDataApr[[#This Row],[Time]]&lt;1, AllDataApr[[#This Row],[Time]]&gt;=0.75)=TRUE, "Evening", "Night")))</f>
        <v>Afternoon</v>
      </c>
      <c r="G642" t="s">
        <v>1264</v>
      </c>
      <c r="H642" t="str">
        <f>_xlfn.XLOOKUP(AllDataApr[[#This Row],[Location Name]], Locations[Row Labels],Locations[Group As])</f>
        <v>Piddle Brook Wyre Piddle Bridge</v>
      </c>
      <c r="I642" t="str">
        <f>_xlfn.XLOOKUP(AllDataApr[[#This Row],[Site Name]],LocationsKey[Site Name],LocationsKey[Region])</f>
        <v>Pershore</v>
      </c>
      <c r="J642" t="str">
        <f>_xlfn.XLOOKUP(AllDataApr[[#This Row],[Site Name]],LocationsKey[Site Name], LocationsKey[Waterway])</f>
        <v>Piddle Brook</v>
      </c>
      <c r="K642" t="s">
        <v>908</v>
      </c>
      <c r="L642">
        <v>52.126404000000001</v>
      </c>
      <c r="M642">
        <v>-2.0565410000000002</v>
      </c>
      <c r="N642" t="s">
        <v>14</v>
      </c>
      <c r="O642" s="7">
        <v>1420</v>
      </c>
      <c r="P642">
        <v>9</v>
      </c>
      <c r="Q642" s="7">
        <v>10</v>
      </c>
      <c r="R642" s="7" t="str">
        <f>IF(AllDataApr[[#This Row],[Nitrate (PPM)]]&gt;2, "Very high", IF(AllDataApr[[#This Row],[Nitrate (PPM)]]&gt;1, "High", IF(AllDataApr[[#This Row],[Nitrate (PPM)]]&gt;0.5, "Some evidence", IF(AllDataApr[[#This Row],[Nitrate (PPM)]]&gt;0, "No evidence", IF(AllDataApr[[#This Row],[Nitrate (PPM)]]=0, "")))))</f>
        <v>Very high</v>
      </c>
      <c r="S642" s="7">
        <v>0.51</v>
      </c>
      <c r="T642" s="7" t="str">
        <f>IF(AllDataApr[[#This Row],[Phosphate (PPM)]]&gt;0.5, "Very high", IF(AllDataApr[[#This Row],[Phosphate (PPM)]]&gt;0.1, "High", IF(AllDataApr[[#This Row],[Phosphate (PPM)]]&gt;0.05, "Some evidence", IF(AllDataApr[[#This Row],[Phosphate (PPM)]]=0, ""))))</f>
        <v>Very high</v>
      </c>
      <c r="U642">
        <v>0.22</v>
      </c>
      <c r="V642" t="s">
        <v>1301</v>
      </c>
    </row>
    <row r="643" spans="1:22" x14ac:dyDescent="0.3">
      <c r="A643" t="s">
        <v>1222</v>
      </c>
      <c r="B643" s="2">
        <v>45409</v>
      </c>
      <c r="C643" s="2" t="str" cm="1">
        <f t="array" ref="C64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43">
        <f>YEAR(AllDataApr[[#This Row],[Date]])</f>
        <v>2024</v>
      </c>
      <c r="E643" s="1">
        <v>0.68055555555555558</v>
      </c>
      <c r="F643" s="2" t="str">
        <f>IF(AND(AllDataApr[[#This Row],[Time]]&lt;0.5, AllDataApr[[#This Row],[Time]]&gt;0.17)=TRUE, "Morning", IF(AND(AllDataApr[[#This Row],[Time]]&lt;0.75, AllDataApr[[#This Row],[Time]]&gt;=0.5)=TRUE, "Afternoon", IF(AND(AllDataApr[[#This Row],[Time]]&lt;1, AllDataApr[[#This Row],[Time]]&gt;=0.75)=TRUE, "Evening", "Night")))</f>
        <v>Afternoon</v>
      </c>
      <c r="G643" t="s">
        <v>11</v>
      </c>
      <c r="H643" t="str">
        <f>_xlfn.XLOOKUP(AllDataApr[[#This Row],[Location Name]], Locations[Row Labels],Locations[Group As])</f>
        <v>Black Bear</v>
      </c>
      <c r="I643" t="str">
        <f>_xlfn.XLOOKUP(AllDataApr[[#This Row],[Site Name]],LocationsKey[Site Name],LocationsKey[Region])</f>
        <v>Tewkesbury</v>
      </c>
      <c r="J643" t="str">
        <f>_xlfn.XLOOKUP(AllDataApr[[#This Row],[Site Name]],LocationsKey[Site Name], LocationsKey[Waterway])</f>
        <v>Avon</v>
      </c>
      <c r="K643" t="s">
        <v>1267</v>
      </c>
      <c r="L643">
        <v>51.997390000000003</v>
      </c>
      <c r="M643">
        <v>-2.1562640000000002</v>
      </c>
      <c r="N643" t="s">
        <v>14</v>
      </c>
      <c r="O643" s="7">
        <v>891</v>
      </c>
      <c r="P643">
        <v>22.6</v>
      </c>
      <c r="Q643" s="7">
        <v>5</v>
      </c>
      <c r="R643" s="7" t="str">
        <f>IF(AllDataApr[[#This Row],[Nitrate (PPM)]]&gt;2, "Very high", IF(AllDataApr[[#This Row],[Nitrate (PPM)]]&gt;1, "High", IF(AllDataApr[[#This Row],[Nitrate (PPM)]]&gt;0.5, "Some evidence", IF(AllDataApr[[#This Row],[Nitrate (PPM)]]&gt;0, "No evidence", IF(AllDataApr[[#This Row],[Nitrate (PPM)]]=0, "")))))</f>
        <v>Very high</v>
      </c>
      <c r="S643" s="7">
        <v>0.59</v>
      </c>
      <c r="T643" s="7" t="str">
        <f>IF(AllDataApr[[#This Row],[Phosphate (PPM)]]&gt;0.5, "Very high", IF(AllDataApr[[#This Row],[Phosphate (PPM)]]&gt;0.1, "High", IF(AllDataApr[[#This Row],[Phosphate (PPM)]]&gt;0.05, "Some evidence", IF(AllDataApr[[#This Row],[Phosphate (PPM)]]=0, ""))))</f>
        <v>Very high</v>
      </c>
      <c r="U643">
        <v>0</v>
      </c>
    </row>
    <row r="644" spans="1:22" x14ac:dyDescent="0.3">
      <c r="A644" t="s">
        <v>1211</v>
      </c>
      <c r="B644" s="2">
        <v>45410</v>
      </c>
      <c r="C644" s="2" t="str" cm="1">
        <f t="array" ref="C64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44">
        <f>YEAR(AllDataApr[[#This Row],[Date]])</f>
        <v>2024</v>
      </c>
      <c r="E644" s="1">
        <v>0.2048611111111111</v>
      </c>
      <c r="F644" s="2" t="str">
        <f>IF(AND(AllDataApr[[#This Row],[Time]]&lt;0.5, AllDataApr[[#This Row],[Time]]&gt;0.17)=TRUE, "Morning", IF(AND(AllDataApr[[#This Row],[Time]]&lt;0.75, AllDataApr[[#This Row],[Time]]&gt;=0.5)=TRUE, "Afternoon", IF(AND(AllDataApr[[#This Row],[Time]]&lt;1, AllDataApr[[#This Row],[Time]]&gt;=0.75)=TRUE, "Evening", "Night")))</f>
        <v>Morning</v>
      </c>
      <c r="G644" t="s">
        <v>1262</v>
      </c>
      <c r="H644" t="str">
        <f>_xlfn.XLOOKUP(AllDataApr[[#This Row],[Location Name]], Locations[Row Labels],Locations[Group As])</f>
        <v>Fell Mill Footbridge</v>
      </c>
      <c r="I644" t="str">
        <f>_xlfn.XLOOKUP(AllDataApr[[#This Row],[Site Name]],LocationsKey[Site Name],LocationsKey[Region])</f>
        <v>Shipston</v>
      </c>
      <c r="J644" t="str">
        <f>_xlfn.XLOOKUP(AllDataApr[[#This Row],[Site Name]],LocationsKey[Site Name], LocationsKey[Waterway])</f>
        <v>Stour</v>
      </c>
      <c r="K644" t="s">
        <v>910</v>
      </c>
      <c r="L644">
        <v>52.070086000000003</v>
      </c>
      <c r="M644">
        <v>-1.61145</v>
      </c>
      <c r="N644" t="s">
        <v>18</v>
      </c>
      <c r="O644" s="7">
        <v>465</v>
      </c>
      <c r="P644">
        <v>10.4</v>
      </c>
      <c r="Q644" s="7">
        <v>5</v>
      </c>
      <c r="R644" s="7" t="str">
        <f>IF(AllDataApr[[#This Row],[Nitrate (PPM)]]&gt;2, "Very high", IF(AllDataApr[[#This Row],[Nitrate (PPM)]]&gt;1, "High", IF(AllDataApr[[#This Row],[Nitrate (PPM)]]&gt;0.5, "Some evidence", IF(AllDataApr[[#This Row],[Nitrate (PPM)]]&gt;0, "No evidence", IF(AllDataApr[[#This Row],[Nitrate (PPM)]]=0, "")))))</f>
        <v>Very high</v>
      </c>
      <c r="S644" s="7">
        <v>1.02</v>
      </c>
      <c r="T644" s="7" t="str">
        <f>IF(AllDataApr[[#This Row],[Phosphate (PPM)]]&gt;0.5, "Very high", IF(AllDataApr[[#This Row],[Phosphate (PPM)]]&gt;0.1, "High", IF(AllDataApr[[#This Row],[Phosphate (PPM)]]&gt;0.05, "Some evidence", IF(AllDataApr[[#This Row],[Phosphate (PPM)]]=0, ""))))</f>
        <v>Very high</v>
      </c>
      <c r="U644">
        <v>0.9</v>
      </c>
    </row>
    <row r="645" spans="1:22" x14ac:dyDescent="0.3">
      <c r="A645" t="s">
        <v>1196</v>
      </c>
      <c r="B645" s="2">
        <v>45410</v>
      </c>
      <c r="C645" s="2" t="str" cm="1">
        <f t="array" ref="C64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45">
        <f>YEAR(AllDataApr[[#This Row],[Date]])</f>
        <v>2024</v>
      </c>
      <c r="E645" s="1">
        <v>0.41666666666666669</v>
      </c>
      <c r="F645" s="2" t="str">
        <f>IF(AND(AllDataApr[[#This Row],[Time]]&lt;0.5, AllDataApr[[#This Row],[Time]]&gt;0.17)=TRUE, "Morning", IF(AND(AllDataApr[[#This Row],[Time]]&lt;0.75, AllDataApr[[#This Row],[Time]]&gt;=0.5)=TRUE, "Afternoon", IF(AND(AllDataApr[[#This Row],[Time]]&lt;1, AllDataApr[[#This Row],[Time]]&gt;=0.75)=TRUE, "Evening", "Night")))</f>
        <v>Morning</v>
      </c>
      <c r="G645" t="s">
        <v>1253</v>
      </c>
      <c r="H645" t="str">
        <f>_xlfn.XLOOKUP(AllDataApr[[#This Row],[Location Name]], Locations[Row Labels],Locations[Group As])</f>
        <v>Avonbank Drive</v>
      </c>
      <c r="I645" t="str">
        <f>_xlfn.XLOOKUP(AllDataApr[[#This Row],[Site Name]],LocationsKey[Site Name],LocationsKey[Region])</f>
        <v>Stratford</v>
      </c>
      <c r="J645" t="str">
        <f>_xlfn.XLOOKUP(AllDataApr[[#This Row],[Site Name]],LocationsKey[Site Name], LocationsKey[Waterway])</f>
        <v>Avon</v>
      </c>
      <c r="K645" t="s">
        <v>71</v>
      </c>
      <c r="L645">
        <v>43.328878000000003</v>
      </c>
      <c r="M645">
        <v>-81.129401000000001</v>
      </c>
      <c r="N645" t="s">
        <v>42</v>
      </c>
      <c r="O645" s="7">
        <v>890</v>
      </c>
      <c r="P645">
        <v>14.1</v>
      </c>
      <c r="Q645" s="7">
        <v>10</v>
      </c>
      <c r="R645" s="7" t="str">
        <f>IF(AllDataApr[[#This Row],[Nitrate (PPM)]]&gt;2, "Very high", IF(AllDataApr[[#This Row],[Nitrate (PPM)]]&gt;1, "High", IF(AllDataApr[[#This Row],[Nitrate (PPM)]]&gt;0.5, "Some evidence", IF(AllDataApr[[#This Row],[Nitrate (PPM)]]&gt;0, "No evidence", IF(AllDataApr[[#This Row],[Nitrate (PPM)]]=0, "")))))</f>
        <v>Very high</v>
      </c>
      <c r="S645" s="7">
        <v>0.34</v>
      </c>
      <c r="T645" s="7" t="str">
        <f>IF(AllDataApr[[#This Row],[Phosphate (PPM)]]&gt;0.5, "Very high", IF(AllDataApr[[#This Row],[Phosphate (PPM)]]&gt;0.1, "High", IF(AllDataApr[[#This Row],[Phosphate (PPM)]]&gt;0.05, "Some evidence", IF(AllDataApr[[#This Row],[Phosphate (PPM)]]=0, ""))))</f>
        <v>High</v>
      </c>
      <c r="U645">
        <v>1</v>
      </c>
    </row>
    <row r="646" spans="1:22" x14ac:dyDescent="0.3">
      <c r="A646" t="s">
        <v>1197</v>
      </c>
      <c r="B646" s="2">
        <v>45410</v>
      </c>
      <c r="C646" s="2" t="str" cm="1">
        <f t="array" ref="C64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46">
        <f>YEAR(AllDataApr[[#This Row],[Date]])</f>
        <v>2024</v>
      </c>
      <c r="E646" s="1">
        <v>0.41666666666666669</v>
      </c>
      <c r="F646" s="2" t="str">
        <f>IF(AND(AllDataApr[[#This Row],[Time]]&lt;0.5, AllDataApr[[#This Row],[Time]]&gt;0.17)=TRUE, "Morning", IF(AND(AllDataApr[[#This Row],[Time]]&lt;0.75, AllDataApr[[#This Row],[Time]]&gt;=0.5)=TRUE, "Afternoon", IF(AND(AllDataApr[[#This Row],[Time]]&lt;1, AllDataApr[[#This Row],[Time]]&gt;=0.75)=TRUE, "Evening", "Night")))</f>
        <v>Morning</v>
      </c>
      <c r="G646" t="s">
        <v>1253</v>
      </c>
      <c r="H646" t="str">
        <f>_xlfn.XLOOKUP(AllDataApr[[#This Row],[Location Name]], Locations[Row Labels],Locations[Group As])</f>
        <v>Pitch 16</v>
      </c>
      <c r="I646" t="str">
        <f>_xlfn.XLOOKUP(AllDataApr[[#This Row],[Site Name]],LocationsKey[Site Name],LocationsKey[Region])</f>
        <v>Stratford</v>
      </c>
      <c r="J646" t="str">
        <f>_xlfn.XLOOKUP(AllDataApr[[#This Row],[Site Name]],LocationsKey[Site Name], LocationsKey[Waterway])</f>
        <v>Avon</v>
      </c>
      <c r="K646" t="s">
        <v>39</v>
      </c>
      <c r="L646">
        <v>50.831715000000003</v>
      </c>
      <c r="M646">
        <v>-0.306093</v>
      </c>
      <c r="N646" t="s">
        <v>1271</v>
      </c>
      <c r="O646" s="7">
        <v>861</v>
      </c>
      <c r="P646">
        <v>14.5</v>
      </c>
      <c r="Q646" s="7">
        <v>10</v>
      </c>
      <c r="R646" s="7" t="str">
        <f>IF(AllDataApr[[#This Row],[Nitrate (PPM)]]&gt;2, "Very high", IF(AllDataApr[[#This Row],[Nitrate (PPM)]]&gt;1, "High", IF(AllDataApr[[#This Row],[Nitrate (PPM)]]&gt;0.5, "Some evidence", IF(AllDataApr[[#This Row],[Nitrate (PPM)]]&gt;0, "No evidence", IF(AllDataApr[[#This Row],[Nitrate (PPM)]]=0, "")))))</f>
        <v>Very high</v>
      </c>
      <c r="S646" s="7">
        <v>0.34</v>
      </c>
      <c r="T646" s="7" t="str">
        <f>IF(AllDataApr[[#This Row],[Phosphate (PPM)]]&gt;0.5, "Very high", IF(AllDataApr[[#This Row],[Phosphate (PPM)]]&gt;0.1, "High", IF(AllDataApr[[#This Row],[Phosphate (PPM)]]&gt;0.05, "Some evidence", IF(AllDataApr[[#This Row],[Phosphate (PPM)]]=0, ""))))</f>
        <v>High</v>
      </c>
      <c r="U646">
        <v>1</v>
      </c>
    </row>
    <row r="647" spans="1:22" x14ac:dyDescent="0.3">
      <c r="A647" t="s">
        <v>1215</v>
      </c>
      <c r="B647" s="2">
        <v>45410</v>
      </c>
      <c r="C647" s="2" t="str" cm="1">
        <f t="array" ref="C64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47">
        <f>YEAR(AllDataApr[[#This Row],[Date]])</f>
        <v>2024</v>
      </c>
      <c r="E647" s="1">
        <v>0.58333333333333337</v>
      </c>
      <c r="F647" s="2" t="str">
        <f>IF(AND(AllDataApr[[#This Row],[Time]]&lt;0.5, AllDataApr[[#This Row],[Time]]&gt;0.17)=TRUE, "Morning", IF(AND(AllDataApr[[#This Row],[Time]]&lt;0.75, AllDataApr[[#This Row],[Time]]&gt;=0.5)=TRUE, "Afternoon", IF(AND(AllDataApr[[#This Row],[Time]]&lt;1, AllDataApr[[#This Row],[Time]]&gt;=0.75)=TRUE, "Evening", "Night")))</f>
        <v>Afternoon</v>
      </c>
      <c r="G647" t="s">
        <v>112</v>
      </c>
      <c r="H647" t="str">
        <f>_xlfn.XLOOKUP(AllDataApr[[#This Row],[Location Name]], Locations[Row Labels],Locations[Group As])</f>
        <v>Clifford Chambers Mill Bridge</v>
      </c>
      <c r="I647" t="str">
        <f>_xlfn.XLOOKUP(AllDataApr[[#This Row],[Site Name]],LocationsKey[Site Name],LocationsKey[Region])</f>
        <v>Stratford</v>
      </c>
      <c r="J647" t="str">
        <f>_xlfn.XLOOKUP(AllDataApr[[#This Row],[Site Name]],LocationsKey[Site Name], LocationsKey[Waterway])</f>
        <v>Stour</v>
      </c>
      <c r="K647" t="s">
        <v>119</v>
      </c>
      <c r="L647">
        <v>52.166370000000001</v>
      </c>
      <c r="M647">
        <v>-1.708032</v>
      </c>
      <c r="N647" t="s">
        <v>1272</v>
      </c>
      <c r="O647" s="7">
        <v>647</v>
      </c>
      <c r="P647">
        <v>11.2</v>
      </c>
      <c r="Q647" s="7">
        <v>8</v>
      </c>
      <c r="R647" s="7" t="str">
        <f>IF(AllDataApr[[#This Row],[Nitrate (PPM)]]&gt;2, "Very high", IF(AllDataApr[[#This Row],[Nitrate (PPM)]]&gt;1, "High", IF(AllDataApr[[#This Row],[Nitrate (PPM)]]&gt;0.5, "Some evidence", IF(AllDataApr[[#This Row],[Nitrate (PPM)]]&gt;0, "No evidence", IF(AllDataApr[[#This Row],[Nitrate (PPM)]]=0, "")))))</f>
        <v>Very high</v>
      </c>
      <c r="S647" s="7">
        <v>0.13</v>
      </c>
      <c r="T647" s="7" t="str">
        <f>IF(AllDataApr[[#This Row],[Phosphate (PPM)]]&gt;0.5, "Very high", IF(AllDataApr[[#This Row],[Phosphate (PPM)]]&gt;0.1, "High", IF(AllDataApr[[#This Row],[Phosphate (PPM)]]&gt;0.05, "Some evidence", IF(AllDataApr[[#This Row],[Phosphate (PPM)]]=0, ""))))</f>
        <v>High</v>
      </c>
      <c r="U647">
        <v>1.2</v>
      </c>
    </row>
    <row r="648" spans="1:22" x14ac:dyDescent="0.3">
      <c r="A648" t="s">
        <v>1169</v>
      </c>
      <c r="B648" s="2">
        <v>45410</v>
      </c>
      <c r="C648" s="2" t="str" cm="1">
        <f t="array" ref="C64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48">
        <f>YEAR(AllDataApr[[#This Row],[Date]])</f>
        <v>2024</v>
      </c>
      <c r="E648" s="1">
        <v>0.625</v>
      </c>
      <c r="F648" s="2" t="str">
        <f>IF(AND(AllDataApr[[#This Row],[Time]]&lt;0.5, AllDataApr[[#This Row],[Time]]&gt;0.17)=TRUE, "Morning", IF(AND(AllDataApr[[#This Row],[Time]]&lt;0.75, AllDataApr[[#This Row],[Time]]&gt;=0.5)=TRUE, "Afternoon", IF(AND(AllDataApr[[#This Row],[Time]]&lt;1, AllDataApr[[#This Row],[Time]]&gt;=0.75)=TRUE, "Evening", "Night")))</f>
        <v>Afternoon</v>
      </c>
      <c r="G648" t="s">
        <v>275</v>
      </c>
      <c r="H648" t="str">
        <f>_xlfn.XLOOKUP(AllDataApr[[#This Row],[Location Name]], Locations[Row Labels],Locations[Group As])</f>
        <v>Sherbourne Brook 1</v>
      </c>
      <c r="I648" t="str">
        <f>_xlfn.XLOOKUP(AllDataApr[[#This Row],[Site Name]],LocationsKey[Site Name],LocationsKey[Region])</f>
        <v>Stratford</v>
      </c>
      <c r="J648" t="str">
        <f>_xlfn.XLOOKUP(AllDataApr[[#This Row],[Site Name]],LocationsKey[Site Name], LocationsKey[Waterway])</f>
        <v>Sherbourne Brook</v>
      </c>
      <c r="K648" t="s">
        <v>280</v>
      </c>
      <c r="O648" s="7">
        <v>821</v>
      </c>
      <c r="P648">
        <v>9.6</v>
      </c>
      <c r="Q648" s="7">
        <v>8</v>
      </c>
      <c r="R648" s="7" t="str">
        <f>IF(AllDataApr[[#This Row],[Nitrate (PPM)]]&gt;2, "Very high", IF(AllDataApr[[#This Row],[Nitrate (PPM)]]&gt;1, "High", IF(AllDataApr[[#This Row],[Nitrate (PPM)]]&gt;0.5, "Some evidence", IF(AllDataApr[[#This Row],[Nitrate (PPM)]]&gt;0, "No evidence", IF(AllDataApr[[#This Row],[Nitrate (PPM)]]=0, "")))))</f>
        <v>Very high</v>
      </c>
      <c r="S648" s="7">
        <v>0.72</v>
      </c>
      <c r="T648" s="7" t="str">
        <f>IF(AllDataApr[[#This Row],[Phosphate (PPM)]]&gt;0.5, "Very high", IF(AllDataApr[[#This Row],[Phosphate (PPM)]]&gt;0.1, "High", IF(AllDataApr[[#This Row],[Phosphate (PPM)]]&gt;0.05, "Some evidence", IF(AllDataApr[[#This Row],[Phosphate (PPM)]]=0, ""))))</f>
        <v>Very high</v>
      </c>
      <c r="U648">
        <v>9.1999999999999993</v>
      </c>
    </row>
    <row r="649" spans="1:22" x14ac:dyDescent="0.3">
      <c r="A649" t="s">
        <v>1168</v>
      </c>
      <c r="B649" s="2">
        <v>45410</v>
      </c>
      <c r="C649" s="2" t="str" cm="1">
        <f t="array" ref="C64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49">
        <f>YEAR(AllDataApr[[#This Row],[Date]])</f>
        <v>2024</v>
      </c>
      <c r="E649" s="1">
        <v>0.63541666666666663</v>
      </c>
      <c r="F649" s="2" t="str">
        <f>IF(AND(AllDataApr[[#This Row],[Time]]&lt;0.5, AllDataApr[[#This Row],[Time]]&gt;0.17)=TRUE, "Morning", IF(AND(AllDataApr[[#This Row],[Time]]&lt;0.75, AllDataApr[[#This Row],[Time]]&gt;=0.5)=TRUE, "Afternoon", IF(AND(AllDataApr[[#This Row],[Time]]&lt;1, AllDataApr[[#This Row],[Time]]&gt;=0.75)=TRUE, "Evening", "Night")))</f>
        <v>Afternoon</v>
      </c>
      <c r="G649" t="s">
        <v>275</v>
      </c>
      <c r="H649" t="str">
        <f>_xlfn.XLOOKUP(AllDataApr[[#This Row],[Location Name]], Locations[Row Labels],Locations[Group As])</f>
        <v>Bell Brook 1</v>
      </c>
      <c r="I649" t="str">
        <f>_xlfn.XLOOKUP(AllDataApr[[#This Row],[Site Name]],LocationsKey[Site Name],LocationsKey[Region])</f>
        <v>Stratford</v>
      </c>
      <c r="J649" t="str">
        <f>_xlfn.XLOOKUP(AllDataApr[[#This Row],[Site Name]],LocationsKey[Site Name], LocationsKey[Waterway])</f>
        <v>Bell Brook</v>
      </c>
      <c r="K649" t="s">
        <v>279</v>
      </c>
      <c r="O649" s="7">
        <v>684</v>
      </c>
      <c r="P649">
        <v>10.5</v>
      </c>
      <c r="Q649" s="7">
        <v>5</v>
      </c>
      <c r="R649" s="7" t="str">
        <f>IF(AllDataApr[[#This Row],[Nitrate (PPM)]]&gt;2, "Very high", IF(AllDataApr[[#This Row],[Nitrate (PPM)]]&gt;1, "High", IF(AllDataApr[[#This Row],[Nitrate (PPM)]]&gt;0.5, "Some evidence", IF(AllDataApr[[#This Row],[Nitrate (PPM)]]&gt;0, "No evidence", IF(AllDataApr[[#This Row],[Nitrate (PPM)]]=0, "")))))</f>
        <v>Very high</v>
      </c>
      <c r="S649" s="7">
        <v>0.53</v>
      </c>
      <c r="T649" s="7" t="str">
        <f>IF(AllDataApr[[#This Row],[Phosphate (PPM)]]&gt;0.5, "Very high", IF(AllDataApr[[#This Row],[Phosphate (PPM)]]&gt;0.1, "High", IF(AllDataApr[[#This Row],[Phosphate (PPM)]]&gt;0.05, "Some evidence", IF(AllDataApr[[#This Row],[Phosphate (PPM)]]=0, ""))))</f>
        <v>Very high</v>
      </c>
      <c r="U649">
        <v>0.2</v>
      </c>
    </row>
    <row r="650" spans="1:22" x14ac:dyDescent="0.3">
      <c r="A650" t="s">
        <v>1219</v>
      </c>
      <c r="B650" s="2">
        <v>45411</v>
      </c>
      <c r="C650" s="2" t="str" cm="1">
        <f t="array" ref="C65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50">
        <f>YEAR(AllDataApr[[#This Row],[Date]])</f>
        <v>2024</v>
      </c>
      <c r="E650" s="1">
        <v>0.375</v>
      </c>
      <c r="F650" s="2" t="str">
        <f>IF(AND(AllDataApr[[#This Row],[Time]]&lt;0.5, AllDataApr[[#This Row],[Time]]&gt;0.17)=TRUE, "Morning", IF(AND(AllDataApr[[#This Row],[Time]]&lt;0.75, AllDataApr[[#This Row],[Time]]&gt;=0.5)=TRUE, "Afternoon", IF(AND(AllDataApr[[#This Row],[Time]]&lt;1, AllDataApr[[#This Row],[Time]]&gt;=0.75)=TRUE, "Evening", "Night")))</f>
        <v>Morning</v>
      </c>
      <c r="G650" t="s">
        <v>150</v>
      </c>
      <c r="H650" t="str">
        <f>_xlfn.XLOOKUP(AllDataApr[[#This Row],[Location Name]], Locations[Row Labels],Locations[Group As])</f>
        <v>Stour Stretton-on-Fosse Village</v>
      </c>
      <c r="I650" t="str">
        <f>_xlfn.XLOOKUP(AllDataApr[[#This Row],[Site Name]],LocationsKey[Site Name],LocationsKey[Region])</f>
        <v>Shipston</v>
      </c>
      <c r="J650" t="str">
        <f>_xlfn.XLOOKUP(AllDataApr[[#This Row],[Site Name]],LocationsKey[Site Name], LocationsKey[Waterway])</f>
        <v>Stour</v>
      </c>
      <c r="K650" t="s">
        <v>198</v>
      </c>
      <c r="L650">
        <v>52.046436999999997</v>
      </c>
      <c r="M650">
        <v>-1.6734960000000001</v>
      </c>
      <c r="N650" t="s">
        <v>42</v>
      </c>
      <c r="O650" s="7">
        <v>564</v>
      </c>
      <c r="P650">
        <v>10.1</v>
      </c>
      <c r="Q650" s="7">
        <v>2</v>
      </c>
      <c r="R650" s="7" t="str">
        <f>IF(AllDataApr[[#This Row],[Nitrate (PPM)]]&gt;2, "Very high", IF(AllDataApr[[#This Row],[Nitrate (PPM)]]&gt;1, "High", IF(AllDataApr[[#This Row],[Nitrate (PPM)]]&gt;0.5, "Some evidence", IF(AllDataApr[[#This Row],[Nitrate (PPM)]]&gt;0, "No evidence", IF(AllDataApr[[#This Row],[Nitrate (PPM)]]=0, "")))))</f>
        <v>High</v>
      </c>
      <c r="S650" s="7">
        <v>0.82</v>
      </c>
      <c r="T650" s="7" t="str">
        <f>IF(AllDataApr[[#This Row],[Phosphate (PPM)]]&gt;0.5, "Very high", IF(AllDataApr[[#This Row],[Phosphate (PPM)]]&gt;0.1, "High", IF(AllDataApr[[#This Row],[Phosphate (PPM)]]&gt;0.05, "Some evidence", IF(AllDataApr[[#This Row],[Phosphate (PPM)]]=0, ""))))</f>
        <v>Very high</v>
      </c>
      <c r="U650">
        <v>0.2</v>
      </c>
    </row>
    <row r="651" spans="1:22" x14ac:dyDescent="0.3">
      <c r="A651" t="s">
        <v>1218</v>
      </c>
      <c r="B651" s="2">
        <v>45411</v>
      </c>
      <c r="C651" s="2" t="str" cm="1">
        <f t="array" ref="C65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51">
        <f>YEAR(AllDataApr[[#This Row],[Date]])</f>
        <v>2024</v>
      </c>
      <c r="E651" s="1">
        <v>0.3840277777777778</v>
      </c>
      <c r="F651" s="2" t="str">
        <f>IF(AND(AllDataApr[[#This Row],[Time]]&lt;0.5, AllDataApr[[#This Row],[Time]]&gt;0.17)=TRUE, "Morning", IF(AND(AllDataApr[[#This Row],[Time]]&lt;0.75, AllDataApr[[#This Row],[Time]]&gt;=0.5)=TRUE, "Afternoon", IF(AND(AllDataApr[[#This Row],[Time]]&lt;1, AllDataApr[[#This Row],[Time]]&gt;=0.75)=TRUE, "Evening", "Night")))</f>
        <v>Morning</v>
      </c>
      <c r="G651" t="s">
        <v>150</v>
      </c>
      <c r="H651" t="str">
        <f>_xlfn.XLOOKUP(AllDataApr[[#This Row],[Location Name]], Locations[Row Labels],Locations[Group As])</f>
        <v>Stour Stretton-on-Fosse Sewage Works</v>
      </c>
      <c r="I651" t="str">
        <f>_xlfn.XLOOKUP(AllDataApr[[#This Row],[Site Name]],LocationsKey[Site Name],LocationsKey[Region])</f>
        <v>Shipston</v>
      </c>
      <c r="J651" t="str">
        <f>_xlfn.XLOOKUP(AllDataApr[[#This Row],[Site Name]],LocationsKey[Site Name], LocationsKey[Waterway])</f>
        <v>Stour</v>
      </c>
      <c r="K651" t="s">
        <v>151</v>
      </c>
      <c r="L651">
        <v>52.045634</v>
      </c>
      <c r="M651">
        <v>-1.67191</v>
      </c>
      <c r="N651" t="s">
        <v>18</v>
      </c>
      <c r="O651" s="7">
        <v>608</v>
      </c>
      <c r="P651">
        <v>9.4</v>
      </c>
      <c r="Q651" s="7">
        <v>5</v>
      </c>
      <c r="R651" s="7" t="str">
        <f>IF(AllDataApr[[#This Row],[Nitrate (PPM)]]&gt;2, "Very high", IF(AllDataApr[[#This Row],[Nitrate (PPM)]]&gt;1, "High", IF(AllDataApr[[#This Row],[Nitrate (PPM)]]&gt;0.5, "Some evidence", IF(AllDataApr[[#This Row],[Nitrate (PPM)]]&gt;0, "No evidence", IF(AllDataApr[[#This Row],[Nitrate (PPM)]]=0, "")))))</f>
        <v>Very high</v>
      </c>
      <c r="S651" s="7">
        <v>1.48</v>
      </c>
      <c r="T651" s="7" t="str">
        <f>IF(AllDataApr[[#This Row],[Phosphate (PPM)]]&gt;0.5, "Very high", IF(AllDataApr[[#This Row],[Phosphate (PPM)]]&gt;0.1, "High", IF(AllDataApr[[#This Row],[Phosphate (PPM)]]&gt;0.05, "Some evidence", IF(AllDataApr[[#This Row],[Phosphate (PPM)]]=0, ""))))</f>
        <v>Very high</v>
      </c>
      <c r="U651">
        <v>0.25</v>
      </c>
    </row>
    <row r="652" spans="1:22" x14ac:dyDescent="0.3">
      <c r="A652" t="s">
        <v>1217</v>
      </c>
      <c r="B652" s="2">
        <v>45411</v>
      </c>
      <c r="C652" s="2" t="str" cm="1">
        <f t="array" ref="C65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52">
        <f>YEAR(AllDataApr[[#This Row],[Date]])</f>
        <v>2024</v>
      </c>
      <c r="E652" s="1">
        <v>0.60972222222222228</v>
      </c>
      <c r="F652" s="2" t="str">
        <f>IF(AND(AllDataApr[[#This Row],[Time]]&lt;0.5, AllDataApr[[#This Row],[Time]]&gt;0.17)=TRUE, "Morning", IF(AND(AllDataApr[[#This Row],[Time]]&lt;0.75, AllDataApr[[#This Row],[Time]]&gt;=0.5)=TRUE, "Afternoon", IF(AND(AllDataApr[[#This Row],[Time]]&lt;1, AllDataApr[[#This Row],[Time]]&gt;=0.75)=TRUE, "Evening", "Night")))</f>
        <v>Afternoon</v>
      </c>
      <c r="G652" t="s">
        <v>139</v>
      </c>
      <c r="H652" t="str">
        <f>_xlfn.XLOOKUP(AllDataApr[[#This Row],[Location Name]], Locations[Row Labels],Locations[Group As])</f>
        <v>Alveston Weir</v>
      </c>
      <c r="I652" t="str">
        <f>_xlfn.XLOOKUP(AllDataApr[[#This Row],[Site Name]],LocationsKey[Site Name],LocationsKey[Region])</f>
        <v>Stratford</v>
      </c>
      <c r="J652" t="str">
        <f>_xlfn.XLOOKUP(AllDataApr[[#This Row],[Site Name]],LocationsKey[Site Name], LocationsKey[Waterway])</f>
        <v>Avon</v>
      </c>
      <c r="K652" t="s">
        <v>128</v>
      </c>
      <c r="N652" t="s">
        <v>18</v>
      </c>
      <c r="O652" s="7">
        <v>442</v>
      </c>
      <c r="P652">
        <v>12.1</v>
      </c>
      <c r="Q652" s="7">
        <v>5</v>
      </c>
      <c r="R652" s="7" t="str">
        <f>IF(AllDataApr[[#This Row],[Nitrate (PPM)]]&gt;2, "Very high", IF(AllDataApr[[#This Row],[Nitrate (PPM)]]&gt;1, "High", IF(AllDataApr[[#This Row],[Nitrate (PPM)]]&gt;0.5, "Some evidence", IF(AllDataApr[[#This Row],[Nitrate (PPM)]]&gt;0, "No evidence", IF(AllDataApr[[#This Row],[Nitrate (PPM)]]=0, "")))))</f>
        <v>Very high</v>
      </c>
      <c r="S652" s="7">
        <v>0.3</v>
      </c>
      <c r="T652" s="7" t="str">
        <f>IF(AllDataApr[[#This Row],[Phosphate (PPM)]]&gt;0.5, "Very high", IF(AllDataApr[[#This Row],[Phosphate (PPM)]]&gt;0.1, "High", IF(AllDataApr[[#This Row],[Phosphate (PPM)]]&gt;0.05, "Some evidence", IF(AllDataApr[[#This Row],[Phosphate (PPM)]]=0, ""))))</f>
        <v>High</v>
      </c>
      <c r="U652">
        <v>1.5</v>
      </c>
    </row>
    <row r="653" spans="1:22" x14ac:dyDescent="0.3">
      <c r="A653" t="s">
        <v>1216</v>
      </c>
      <c r="B653" s="2">
        <v>45411</v>
      </c>
      <c r="C653" s="2" t="str" cm="1">
        <f t="array" ref="C65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53">
        <f>YEAR(AllDataApr[[#This Row],[Date]])</f>
        <v>2024</v>
      </c>
      <c r="E653" s="1">
        <v>0.625</v>
      </c>
      <c r="F653" s="2" t="str">
        <f>IF(AND(AllDataApr[[#This Row],[Time]]&lt;0.5, AllDataApr[[#This Row],[Time]]&gt;0.17)=TRUE, "Morning", IF(AND(AllDataApr[[#This Row],[Time]]&lt;0.75, AllDataApr[[#This Row],[Time]]&gt;=0.5)=TRUE, "Afternoon", IF(AND(AllDataApr[[#This Row],[Time]]&lt;1, AllDataApr[[#This Row],[Time]]&gt;=0.75)=TRUE, "Evening", "Night")))</f>
        <v>Afternoon</v>
      </c>
      <c r="G653" t="s">
        <v>127</v>
      </c>
      <c r="H653" t="str">
        <f>_xlfn.XLOOKUP(AllDataApr[[#This Row],[Location Name]], Locations[Row Labels],Locations[Group As])</f>
        <v>Swiffen Bank</v>
      </c>
      <c r="I653" t="str">
        <f>_xlfn.XLOOKUP(AllDataApr[[#This Row],[Site Name]],LocationsKey[Site Name],LocationsKey[Region])</f>
        <v>Stratford</v>
      </c>
      <c r="J653" t="str">
        <f>_xlfn.XLOOKUP(AllDataApr[[#This Row],[Site Name]],LocationsKey[Site Name], LocationsKey[Waterway])</f>
        <v>Avon</v>
      </c>
      <c r="K653" t="s">
        <v>130</v>
      </c>
      <c r="L653">
        <v>52.206477999999997</v>
      </c>
      <c r="M653">
        <v>-1.653894</v>
      </c>
      <c r="N653" t="s">
        <v>18</v>
      </c>
      <c r="O653" s="7">
        <v>491</v>
      </c>
      <c r="P653">
        <v>14.2</v>
      </c>
      <c r="Q653" s="7">
        <v>5</v>
      </c>
      <c r="R653" s="7" t="str">
        <f>IF(AllDataApr[[#This Row],[Nitrate (PPM)]]&gt;2, "Very high", IF(AllDataApr[[#This Row],[Nitrate (PPM)]]&gt;1, "High", IF(AllDataApr[[#This Row],[Nitrate (PPM)]]&gt;0.5, "Some evidence", IF(AllDataApr[[#This Row],[Nitrate (PPM)]]&gt;0, "No evidence", IF(AllDataApr[[#This Row],[Nitrate (PPM)]]=0, "")))))</f>
        <v>Very high</v>
      </c>
      <c r="S653" s="7">
        <v>0.53</v>
      </c>
      <c r="T653" s="7" t="str">
        <f>IF(AllDataApr[[#This Row],[Phosphate (PPM)]]&gt;0.5, "Very high", IF(AllDataApr[[#This Row],[Phosphate (PPM)]]&gt;0.1, "High", IF(AllDataApr[[#This Row],[Phosphate (PPM)]]&gt;0.05, "Some evidence", IF(AllDataApr[[#This Row],[Phosphate (PPM)]]=0, ""))))</f>
        <v>Very high</v>
      </c>
      <c r="U653">
        <v>1.5</v>
      </c>
      <c r="V653" t="s">
        <v>1300</v>
      </c>
    </row>
    <row r="654" spans="1:22" x14ac:dyDescent="0.3">
      <c r="A654" t="s">
        <v>1214</v>
      </c>
      <c r="B654" s="2">
        <v>45412</v>
      </c>
      <c r="C654" s="2" t="str" cm="1">
        <f t="array" ref="C65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54">
        <f>YEAR(AllDataApr[[#This Row],[Date]])</f>
        <v>2024</v>
      </c>
      <c r="E654" s="1">
        <v>0.44166666666666665</v>
      </c>
      <c r="F654" s="2" t="str">
        <f>IF(AND(AllDataApr[[#This Row],[Time]]&lt;0.5, AllDataApr[[#This Row],[Time]]&gt;0.17)=TRUE, "Morning", IF(AND(AllDataApr[[#This Row],[Time]]&lt;0.75, AllDataApr[[#This Row],[Time]]&gt;=0.5)=TRUE, "Afternoon", IF(AND(AllDataApr[[#This Row],[Time]]&lt;1, AllDataApr[[#This Row],[Time]]&gt;=0.75)=TRUE, "Evening", "Night")))</f>
        <v>Morning</v>
      </c>
      <c r="G654" t="s">
        <v>11</v>
      </c>
      <c r="H654" t="str">
        <f>_xlfn.XLOOKUP(AllDataApr[[#This Row],[Location Name]], Locations[Row Labels],Locations[Group As])</f>
        <v>Carrant Mitton Path</v>
      </c>
      <c r="I654" t="str">
        <f>_xlfn.XLOOKUP(AllDataApr[[#This Row],[Site Name]],LocationsKey[Site Name],LocationsKey[Region])</f>
        <v>Tewkesbury</v>
      </c>
      <c r="J654" t="str">
        <f>_xlfn.XLOOKUP(AllDataApr[[#This Row],[Site Name]],LocationsKey[Site Name], LocationsKey[Waterway])</f>
        <v>Carrant</v>
      </c>
      <c r="K654" t="s">
        <v>1269</v>
      </c>
      <c r="L654">
        <v>51.999794000000001</v>
      </c>
      <c r="M654">
        <v>-2.1410179999999999</v>
      </c>
      <c r="N654" t="s">
        <v>14</v>
      </c>
      <c r="O654" s="7">
        <v>696</v>
      </c>
      <c r="P654">
        <v>13.2</v>
      </c>
      <c r="Q654" s="7">
        <v>10</v>
      </c>
      <c r="R654" s="7" t="str">
        <f>IF(AllDataApr[[#This Row],[Nitrate (PPM)]]&gt;2, "Very high", IF(AllDataApr[[#This Row],[Nitrate (PPM)]]&gt;1, "High", IF(AllDataApr[[#This Row],[Nitrate (PPM)]]&gt;0.5, "Some evidence", IF(AllDataApr[[#This Row],[Nitrate (PPM)]]&gt;0, "No evidence", IF(AllDataApr[[#This Row],[Nitrate (PPM)]]=0, "")))))</f>
        <v>Very high</v>
      </c>
      <c r="S654" s="7">
        <v>0.27</v>
      </c>
      <c r="T654" s="7" t="str">
        <f>IF(AllDataApr[[#This Row],[Phosphate (PPM)]]&gt;0.5, "Very high", IF(AllDataApr[[#This Row],[Phosphate (PPM)]]&gt;0.1, "High", IF(AllDataApr[[#This Row],[Phosphate (PPM)]]&gt;0.05, "Some evidence", IF(AllDataApr[[#This Row],[Phosphate (PPM)]]=0, ""))))</f>
        <v>High</v>
      </c>
      <c r="U654">
        <v>0</v>
      </c>
    </row>
    <row r="655" spans="1:22" x14ac:dyDescent="0.3">
      <c r="A655" t="s">
        <v>1213</v>
      </c>
      <c r="B655" s="2">
        <v>45412</v>
      </c>
      <c r="C655" s="2" t="str" cm="1">
        <f t="array" ref="C65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55">
        <f>YEAR(AllDataApr[[#This Row],[Date]])</f>
        <v>2024</v>
      </c>
      <c r="E655" s="1">
        <v>0.47013888888888888</v>
      </c>
      <c r="F655" s="2" t="str">
        <f>IF(AND(AllDataApr[[#This Row],[Time]]&lt;0.5, AllDataApr[[#This Row],[Time]]&gt;0.17)=TRUE, "Morning", IF(AND(AllDataApr[[#This Row],[Time]]&lt;0.75, AllDataApr[[#This Row],[Time]]&gt;=0.5)=TRUE, "Afternoon", IF(AND(AllDataApr[[#This Row],[Time]]&lt;1, AllDataApr[[#This Row],[Time]]&gt;=0.75)=TRUE, "Evening", "Night")))</f>
        <v>Morning</v>
      </c>
      <c r="G655" t="s">
        <v>11</v>
      </c>
      <c r="H655" t="str">
        <f>_xlfn.XLOOKUP(AllDataApr[[#This Row],[Location Name]], Locations[Row Labels],Locations[Group As])</f>
        <v>Carrant M5 Bridge</v>
      </c>
      <c r="I655" t="str">
        <f>_xlfn.XLOOKUP(AllDataApr[[#This Row],[Site Name]],LocationsKey[Site Name],LocationsKey[Region])</f>
        <v>Tewkesbury</v>
      </c>
      <c r="J655" t="str">
        <f>_xlfn.XLOOKUP(AllDataApr[[#This Row],[Site Name]],LocationsKey[Site Name], LocationsKey[Waterway])</f>
        <v>Carrant</v>
      </c>
      <c r="K655" t="s">
        <v>913</v>
      </c>
      <c r="L655">
        <v>52.011204999999997</v>
      </c>
      <c r="M655">
        <v>-2.119367</v>
      </c>
      <c r="N655" t="s">
        <v>14</v>
      </c>
      <c r="O655" s="7">
        <v>720</v>
      </c>
      <c r="P655">
        <v>14.8</v>
      </c>
      <c r="Q655" s="7">
        <v>8</v>
      </c>
      <c r="R655" s="7" t="str">
        <f>IF(AllDataApr[[#This Row],[Nitrate (PPM)]]&gt;2, "Very high", IF(AllDataApr[[#This Row],[Nitrate (PPM)]]&gt;1, "High", IF(AllDataApr[[#This Row],[Nitrate (PPM)]]&gt;0.5, "Some evidence", IF(AllDataApr[[#This Row],[Nitrate (PPM)]]&gt;0, "No evidence", IF(AllDataApr[[#This Row],[Nitrate (PPM)]]=0, "")))))</f>
        <v>Very high</v>
      </c>
      <c r="S655" s="7">
        <v>0.13</v>
      </c>
      <c r="T655" s="7" t="str">
        <f>IF(AllDataApr[[#This Row],[Phosphate (PPM)]]&gt;0.5, "Very high", IF(AllDataApr[[#This Row],[Phosphate (PPM)]]&gt;0.1, "High", IF(AllDataApr[[#This Row],[Phosphate (PPM)]]&gt;0.05, "Some evidence", IF(AllDataApr[[#This Row],[Phosphate (PPM)]]=0, ""))))</f>
        <v>High</v>
      </c>
      <c r="U655">
        <v>0</v>
      </c>
    </row>
    <row r="656" spans="1:22" x14ac:dyDescent="0.3">
      <c r="A656" t="s">
        <v>1210</v>
      </c>
      <c r="B656" s="2">
        <v>45412</v>
      </c>
      <c r="C656" s="2" t="str" cm="1">
        <f t="array" ref="C65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56">
        <f>YEAR(AllDataApr[[#This Row],[Date]])</f>
        <v>2024</v>
      </c>
      <c r="E656" s="1">
        <v>0.73958333333333337</v>
      </c>
      <c r="F656" s="2" t="str">
        <f>IF(AND(AllDataApr[[#This Row],[Time]]&lt;0.5, AllDataApr[[#This Row],[Time]]&gt;0.17)=TRUE, "Morning", IF(AND(AllDataApr[[#This Row],[Time]]&lt;0.75, AllDataApr[[#This Row],[Time]]&gt;=0.5)=TRUE, "Afternoon", IF(AND(AllDataApr[[#This Row],[Time]]&lt;1, AllDataApr[[#This Row],[Time]]&gt;=0.75)=TRUE, "Evening", "Night")))</f>
        <v>Afternoon</v>
      </c>
      <c r="G656" t="s">
        <v>274</v>
      </c>
      <c r="H656" t="str">
        <f>_xlfn.XLOOKUP(AllDataApr[[#This Row],[Location Name]], Locations[Row Labels],Locations[Group As])</f>
        <v>Abbey Mill</v>
      </c>
      <c r="I656" t="str">
        <f>_xlfn.XLOOKUP(AllDataApr[[#This Row],[Site Name]],LocationsKey[Site Name],LocationsKey[Region])</f>
        <v>Tewkesbury</v>
      </c>
      <c r="J656" t="str">
        <f>_xlfn.XLOOKUP(AllDataApr[[#This Row],[Site Name]],LocationsKey[Site Name], LocationsKey[Waterway])</f>
        <v>Avon</v>
      </c>
      <c r="K656" t="s">
        <v>13</v>
      </c>
      <c r="L656">
        <v>51.989908999999997</v>
      </c>
      <c r="M656">
        <v>-2.16161</v>
      </c>
      <c r="N656" t="s">
        <v>1270</v>
      </c>
      <c r="O656" s="7">
        <v>713</v>
      </c>
      <c r="P656">
        <v>12.4</v>
      </c>
      <c r="Q656" s="7">
        <v>5</v>
      </c>
      <c r="R656" s="7" t="str">
        <f>IF(AllDataApr[[#This Row],[Nitrate (PPM)]]&gt;2, "Very high", IF(AllDataApr[[#This Row],[Nitrate (PPM)]]&gt;1, "High", IF(AllDataApr[[#This Row],[Nitrate (PPM)]]&gt;0.5, "Some evidence", IF(AllDataApr[[#This Row],[Nitrate (PPM)]]&gt;0, "No evidence", IF(AllDataApr[[#This Row],[Nitrate (PPM)]]=0, "")))))</f>
        <v>Very high</v>
      </c>
      <c r="S656" s="7">
        <v>0.51</v>
      </c>
      <c r="T656" s="7" t="str">
        <f>IF(AllDataApr[[#This Row],[Phosphate (PPM)]]&gt;0.5, "Very high", IF(AllDataApr[[#This Row],[Phosphate (PPM)]]&gt;0.1, "High", IF(AllDataApr[[#This Row],[Phosphate (PPM)]]&gt;0.05, "Some evidence", IF(AllDataApr[[#This Row],[Phosphate (PPM)]]=0, ""))))</f>
        <v>Very high</v>
      </c>
      <c r="U656">
        <v>0.7</v>
      </c>
    </row>
    <row r="657" spans="1:22" x14ac:dyDescent="0.3">
      <c r="A657" t="s">
        <v>1184</v>
      </c>
      <c r="B657" s="2">
        <v>45414</v>
      </c>
      <c r="C657" s="2" t="str" cm="1">
        <f t="array" ref="C65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57">
        <f>YEAR(AllDataApr[[#This Row],[Date]])</f>
        <v>2024</v>
      </c>
      <c r="E657" s="1">
        <v>0.45833333333333331</v>
      </c>
      <c r="F657" s="2" t="str">
        <f>IF(AND(AllDataApr[[#This Row],[Time]]&lt;0.5, AllDataApr[[#This Row],[Time]]&gt;0.17)=TRUE, "Morning", IF(AND(AllDataApr[[#This Row],[Time]]&lt;0.75, AllDataApr[[#This Row],[Time]]&gt;=0.5)=TRUE, "Afternoon", IF(AND(AllDataApr[[#This Row],[Time]]&lt;1, AllDataApr[[#This Row],[Time]]&gt;=0.75)=TRUE, "Evening", "Night")))</f>
        <v>Morning</v>
      </c>
      <c r="G657" t="s">
        <v>220</v>
      </c>
      <c r="H657" t="str">
        <f>_xlfn.XLOOKUP(AllDataApr[[#This Row],[Location Name]], Locations[Row Labels],Locations[Group As])</f>
        <v>Stour Willington</v>
      </c>
      <c r="I657" t="str">
        <f>_xlfn.XLOOKUP(AllDataApr[[#This Row],[Site Name]],LocationsKey[Site Name],LocationsKey[Region])</f>
        <v>Shipston</v>
      </c>
      <c r="J657" t="str">
        <f>_xlfn.XLOOKUP(AllDataApr[[#This Row],[Site Name]],LocationsKey[Site Name], LocationsKey[Waterway])</f>
        <v>Stour</v>
      </c>
      <c r="K657" t="s">
        <v>197</v>
      </c>
      <c r="L657">
        <v>52.053553000000001</v>
      </c>
      <c r="M657">
        <v>-1.6201380000000001</v>
      </c>
      <c r="N657">
        <v>0</v>
      </c>
      <c r="O657" s="7">
        <v>617</v>
      </c>
      <c r="P657">
        <v>13.7</v>
      </c>
      <c r="Q657" s="7">
        <v>2</v>
      </c>
      <c r="R657" s="7" t="str">
        <f>IF(AllDataApr[[#This Row],[Nitrate (PPM)]]&gt;2, "Very high", IF(AllDataApr[[#This Row],[Nitrate (PPM)]]&gt;1, "High", IF(AllDataApr[[#This Row],[Nitrate (PPM)]]&gt;0.5, "Some evidence", IF(AllDataApr[[#This Row],[Nitrate (PPM)]]&gt;0, "No evidence", IF(AllDataApr[[#This Row],[Nitrate (PPM)]]=0, "")))))</f>
        <v>High</v>
      </c>
      <c r="S657" s="7">
        <v>0.32</v>
      </c>
      <c r="T657" s="7" t="str">
        <f>IF(AllDataApr[[#This Row],[Phosphate (PPM)]]&gt;0.5, "Very high", IF(AllDataApr[[#This Row],[Phosphate (PPM)]]&gt;0.1, "High", IF(AllDataApr[[#This Row],[Phosphate (PPM)]]&gt;0.05, "Some evidence", IF(AllDataApr[[#This Row],[Phosphate (PPM)]]=0, ""))))</f>
        <v>High</v>
      </c>
      <c r="U657">
        <v>0.5</v>
      </c>
    </row>
    <row r="658" spans="1:22" x14ac:dyDescent="0.3">
      <c r="A658" t="s">
        <v>1206</v>
      </c>
      <c r="B658" s="2">
        <v>45415</v>
      </c>
      <c r="C658" s="2" t="str" cm="1">
        <f t="array" ref="C65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58">
        <f>YEAR(AllDataApr[[#This Row],[Date]])</f>
        <v>2024</v>
      </c>
      <c r="E658" s="1">
        <v>0.54513888888888884</v>
      </c>
      <c r="F658" s="2" t="str">
        <f>IF(AND(AllDataApr[[#This Row],[Time]]&lt;0.5, AllDataApr[[#This Row],[Time]]&gt;0.17)=TRUE, "Morning", IF(AND(AllDataApr[[#This Row],[Time]]&lt;0.75, AllDataApr[[#This Row],[Time]]&gt;=0.5)=TRUE, "Afternoon", IF(AND(AllDataApr[[#This Row],[Time]]&lt;1, AllDataApr[[#This Row],[Time]]&gt;=0.75)=TRUE, "Evening", "Night")))</f>
        <v>Afternoon</v>
      </c>
      <c r="G658" t="s">
        <v>46</v>
      </c>
      <c r="H658" t="str">
        <f>_xlfn.XLOOKUP(AllDataApr[[#This Row],[Location Name]], Locations[Row Labels],Locations[Group As])</f>
        <v>Swilgate</v>
      </c>
      <c r="I658" t="str">
        <f>_xlfn.XLOOKUP(AllDataApr[[#This Row],[Site Name]],LocationsKey[Site Name],LocationsKey[Region])</f>
        <v>Tewkesbury</v>
      </c>
      <c r="J658" t="str">
        <f>_xlfn.XLOOKUP(AllDataApr[[#This Row],[Site Name]],LocationsKey[Site Name], LocationsKey[Waterway])</f>
        <v>Swilgate</v>
      </c>
      <c r="K658" t="s">
        <v>47</v>
      </c>
      <c r="N658" t="s">
        <v>14</v>
      </c>
      <c r="O658" s="7">
        <v>589</v>
      </c>
      <c r="P658">
        <v>12.1</v>
      </c>
      <c r="Q658" s="7">
        <v>4</v>
      </c>
      <c r="R658" s="7" t="str">
        <f>IF(AllDataApr[[#This Row],[Nitrate (PPM)]]&gt;2, "Very high", IF(AllDataApr[[#This Row],[Nitrate (PPM)]]&gt;1, "High", IF(AllDataApr[[#This Row],[Nitrate (PPM)]]&gt;0.5, "Some evidence", IF(AllDataApr[[#This Row],[Nitrate (PPM)]]&gt;0, "No evidence", IF(AllDataApr[[#This Row],[Nitrate (PPM)]]=0, "")))))</f>
        <v>Very high</v>
      </c>
      <c r="S658" s="7">
        <v>0.55000000000000004</v>
      </c>
      <c r="T658" s="7" t="str">
        <f>IF(AllDataApr[[#This Row],[Phosphate (PPM)]]&gt;0.5, "Very high", IF(AllDataApr[[#This Row],[Phosphate (PPM)]]&gt;0.1, "High", IF(AllDataApr[[#This Row],[Phosphate (PPM)]]&gt;0.05, "Some evidence", IF(AllDataApr[[#This Row],[Phosphate (PPM)]]=0, ""))))</f>
        <v>Very high</v>
      </c>
      <c r="U658">
        <v>0</v>
      </c>
    </row>
    <row r="659" spans="1:22" x14ac:dyDescent="0.3">
      <c r="A659" t="s">
        <v>1209</v>
      </c>
      <c r="B659" s="2">
        <v>45415</v>
      </c>
      <c r="C659" s="2" t="str" cm="1">
        <f t="array" ref="C65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59">
        <f>YEAR(AllDataApr[[#This Row],[Date]])</f>
        <v>2024</v>
      </c>
      <c r="E659" s="1">
        <v>0.625</v>
      </c>
      <c r="F659" s="2" t="str">
        <f>IF(AND(AllDataApr[[#This Row],[Time]]&lt;0.5, AllDataApr[[#This Row],[Time]]&gt;0.17)=TRUE, "Morning", IF(AND(AllDataApr[[#This Row],[Time]]&lt;0.75, AllDataApr[[#This Row],[Time]]&gt;=0.5)=TRUE, "Afternoon", IF(AND(AllDataApr[[#This Row],[Time]]&lt;1, AllDataApr[[#This Row],[Time]]&gt;=0.75)=TRUE, "Evening", "Night")))</f>
        <v>Afternoon</v>
      </c>
      <c r="G659" t="s">
        <v>59</v>
      </c>
      <c r="H659" t="str">
        <f>_xlfn.XLOOKUP(AllDataApr[[#This Row],[Location Name]], Locations[Row Labels],Locations[Group As])</f>
        <v>Preston-on-Stour River Bridge</v>
      </c>
      <c r="I659" t="str">
        <f>_xlfn.XLOOKUP(AllDataApr[[#This Row],[Site Name]],LocationsKey[Site Name],LocationsKey[Region])</f>
        <v>Stratford</v>
      </c>
      <c r="J659" t="str">
        <f>_xlfn.XLOOKUP(AllDataApr[[#This Row],[Site Name]],LocationsKey[Site Name], LocationsKey[Waterway])</f>
        <v>Stour</v>
      </c>
      <c r="K659" t="s">
        <v>78</v>
      </c>
      <c r="L659">
        <v>52.146610000000003</v>
      </c>
      <c r="M659">
        <v>-1.700312</v>
      </c>
      <c r="N659" t="s">
        <v>18</v>
      </c>
      <c r="O659" s="7">
        <v>702</v>
      </c>
      <c r="P659">
        <v>12</v>
      </c>
      <c r="Q659" s="7">
        <v>5</v>
      </c>
      <c r="R659" s="7" t="str">
        <f>IF(AllDataApr[[#This Row],[Nitrate (PPM)]]&gt;2, "Very high", IF(AllDataApr[[#This Row],[Nitrate (PPM)]]&gt;1, "High", IF(AllDataApr[[#This Row],[Nitrate (PPM)]]&gt;0.5, "Some evidence", IF(AllDataApr[[#This Row],[Nitrate (PPM)]]&gt;0, "No evidence", IF(AllDataApr[[#This Row],[Nitrate (PPM)]]=0, "")))))</f>
        <v>Very high</v>
      </c>
      <c r="S659" s="7">
        <v>0.22</v>
      </c>
      <c r="T659" s="7" t="str">
        <f>IF(AllDataApr[[#This Row],[Phosphate (PPM)]]&gt;0.5, "Very high", IF(AllDataApr[[#This Row],[Phosphate (PPM)]]&gt;0.1, "High", IF(AllDataApr[[#This Row],[Phosphate (PPM)]]&gt;0.05, "Some evidence", IF(AllDataApr[[#This Row],[Phosphate (PPM)]]=0, ""))))</f>
        <v>High</v>
      </c>
      <c r="U659">
        <v>1.5</v>
      </c>
    </row>
    <row r="660" spans="1:22" x14ac:dyDescent="0.3">
      <c r="A660" t="s">
        <v>1208</v>
      </c>
      <c r="B660" s="2">
        <v>45416</v>
      </c>
      <c r="C660" s="2" t="str" cm="1">
        <f t="array" ref="C66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60">
        <f>YEAR(AllDataApr[[#This Row],[Date]])</f>
        <v>2024</v>
      </c>
      <c r="E660" s="1">
        <v>0.29444444444444445</v>
      </c>
      <c r="F660" s="2" t="str">
        <f>IF(AND(AllDataApr[[#This Row],[Time]]&lt;0.5, AllDataApr[[#This Row],[Time]]&gt;0.17)=TRUE, "Morning", IF(AND(AllDataApr[[#This Row],[Time]]&lt;0.75, AllDataApr[[#This Row],[Time]]&gt;=0.5)=TRUE, "Afternoon", IF(AND(AllDataApr[[#This Row],[Time]]&lt;1, AllDataApr[[#This Row],[Time]]&gt;=0.75)=TRUE, "Evening", "Night")))</f>
        <v>Morning</v>
      </c>
      <c r="G660" t="s">
        <v>221</v>
      </c>
      <c r="H660" t="str">
        <f>_xlfn.XLOOKUP(AllDataApr[[#This Row],[Location Name]], Locations[Row Labels],Locations[Group As])</f>
        <v>Lower Lode</v>
      </c>
      <c r="I660" t="str">
        <f>_xlfn.XLOOKUP(AllDataApr[[#This Row],[Site Name]],LocationsKey[Site Name],LocationsKey[Region])</f>
        <v>Tewkesbury</v>
      </c>
      <c r="J660" t="str">
        <f>_xlfn.XLOOKUP(AllDataApr[[#This Row],[Site Name]],LocationsKey[Site Name], LocationsKey[Waterway])</f>
        <v>Avon</v>
      </c>
      <c r="K660" t="s">
        <v>234</v>
      </c>
      <c r="L660">
        <v>51.985059999999997</v>
      </c>
      <c r="M660">
        <v>-2.1742940000000002</v>
      </c>
      <c r="N660" t="s">
        <v>18</v>
      </c>
      <c r="O660" s="7">
        <v>7000</v>
      </c>
      <c r="P660">
        <v>12.7</v>
      </c>
      <c r="Q660" s="7">
        <v>10</v>
      </c>
      <c r="R660" s="7" t="str">
        <f>IF(AllDataApr[[#This Row],[Nitrate (PPM)]]&gt;2, "Very high", IF(AllDataApr[[#This Row],[Nitrate (PPM)]]&gt;1, "High", IF(AllDataApr[[#This Row],[Nitrate (PPM)]]&gt;0.5, "Some evidence", IF(AllDataApr[[#This Row],[Nitrate (PPM)]]&gt;0, "No evidence", IF(AllDataApr[[#This Row],[Nitrate (PPM)]]=0, "")))))</f>
        <v>Very high</v>
      </c>
      <c r="S660" s="7">
        <v>0.56999999999999995</v>
      </c>
      <c r="T660" s="7" t="str">
        <f>IF(AllDataApr[[#This Row],[Phosphate (PPM)]]&gt;0.5, "Very high", IF(AllDataApr[[#This Row],[Phosphate (PPM)]]&gt;0.1, "High", IF(AllDataApr[[#This Row],[Phosphate (PPM)]]&gt;0.05, "Some evidence", IF(AllDataApr[[#This Row],[Phosphate (PPM)]]=0, ""))))</f>
        <v>Very high</v>
      </c>
      <c r="U660">
        <v>1</v>
      </c>
    </row>
    <row r="661" spans="1:22" x14ac:dyDescent="0.3">
      <c r="A661" t="s">
        <v>1205</v>
      </c>
      <c r="B661" s="2">
        <v>45416</v>
      </c>
      <c r="C661" s="2" t="str" cm="1">
        <f t="array" ref="C66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61">
        <f>YEAR(AllDataApr[[#This Row],[Date]])</f>
        <v>2024</v>
      </c>
      <c r="E661" s="1">
        <v>0.4375</v>
      </c>
      <c r="F661" s="2" t="str">
        <f>IF(AND(AllDataApr[[#This Row],[Time]]&lt;0.5, AllDataApr[[#This Row],[Time]]&gt;0.17)=TRUE, "Morning", IF(AND(AllDataApr[[#This Row],[Time]]&lt;0.75, AllDataApr[[#This Row],[Time]]&gt;=0.5)=TRUE, "Afternoon", IF(AND(AllDataApr[[#This Row],[Time]]&lt;1, AllDataApr[[#This Row],[Time]]&gt;=0.75)=TRUE, "Evening", "Night")))</f>
        <v>Morning</v>
      </c>
      <c r="G661" t="s">
        <v>1261</v>
      </c>
      <c r="H661" t="str">
        <f>_xlfn.XLOOKUP(AllDataApr[[#This Row],[Location Name]], Locations[Row Labels],Locations[Group As])</f>
        <v>Avon Smiths Meadow Wyre Piddle</v>
      </c>
      <c r="I661" t="str">
        <f>_xlfn.XLOOKUP(AllDataApr[[#This Row],[Site Name]],LocationsKey[Site Name],LocationsKey[Region])</f>
        <v>Pershore</v>
      </c>
      <c r="J661" t="str">
        <f>_xlfn.XLOOKUP(AllDataApr[[#This Row],[Site Name]],LocationsKey[Site Name], LocationsKey[Waterway])</f>
        <v>Avon</v>
      </c>
      <c r="K661" t="s">
        <v>909</v>
      </c>
      <c r="L661">
        <v>52.122858999999998</v>
      </c>
      <c r="M661">
        <v>-2.0575389999999998</v>
      </c>
      <c r="N661" t="s">
        <v>14</v>
      </c>
      <c r="O661" s="7">
        <v>723</v>
      </c>
      <c r="P661">
        <v>13.1</v>
      </c>
      <c r="Q661" s="7">
        <v>6</v>
      </c>
      <c r="R661" s="7" t="str">
        <f>IF(AllDataApr[[#This Row],[Nitrate (PPM)]]&gt;2, "Very high", IF(AllDataApr[[#This Row],[Nitrate (PPM)]]&gt;1, "High", IF(AllDataApr[[#This Row],[Nitrate (PPM)]]&gt;0.5, "Some evidence", IF(AllDataApr[[#This Row],[Nitrate (PPM)]]&gt;0, "No evidence", IF(AllDataApr[[#This Row],[Nitrate (PPM)]]=0, "")))))</f>
        <v>Very high</v>
      </c>
      <c r="S661" s="7">
        <v>0.5</v>
      </c>
      <c r="T661" s="7" t="str">
        <f>IF(AllDataApr[[#This Row],[Phosphate (PPM)]]&gt;0.5, "Very high", IF(AllDataApr[[#This Row],[Phosphate (PPM)]]&gt;0.1, "High", IF(AllDataApr[[#This Row],[Phosphate (PPM)]]&gt;0.05, "Some evidence", IF(AllDataApr[[#This Row],[Phosphate (PPM)]]=0, ""))))</f>
        <v>High</v>
      </c>
      <c r="U661">
        <v>0.89</v>
      </c>
      <c r="V661" t="s">
        <v>1299</v>
      </c>
    </row>
    <row r="662" spans="1:22" x14ac:dyDescent="0.3">
      <c r="A662" t="s">
        <v>1204</v>
      </c>
      <c r="B662" s="2">
        <v>45416</v>
      </c>
      <c r="C662" s="2" t="str" cm="1">
        <f t="array" ref="C66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62">
        <f>YEAR(AllDataApr[[#This Row],[Date]])</f>
        <v>2024</v>
      </c>
      <c r="E662" s="1">
        <v>0.46875</v>
      </c>
      <c r="F662" s="2" t="str">
        <f>IF(AND(AllDataApr[[#This Row],[Time]]&lt;0.5, AllDataApr[[#This Row],[Time]]&gt;0.17)=TRUE, "Morning", IF(AND(AllDataApr[[#This Row],[Time]]&lt;0.75, AllDataApr[[#This Row],[Time]]&gt;=0.5)=TRUE, "Afternoon", IF(AND(AllDataApr[[#This Row],[Time]]&lt;1, AllDataApr[[#This Row],[Time]]&gt;=0.75)=TRUE, "Evening", "Night")))</f>
        <v>Morning</v>
      </c>
      <c r="G662" t="s">
        <v>1261</v>
      </c>
      <c r="H662" t="str">
        <f>_xlfn.XLOOKUP(AllDataApr[[#This Row],[Location Name]], Locations[Row Labels],Locations[Group As])</f>
        <v>Piddle Brook Wyre Piddle Bridge</v>
      </c>
      <c r="I662" t="str">
        <f>_xlfn.XLOOKUP(AllDataApr[[#This Row],[Site Name]],LocationsKey[Site Name],LocationsKey[Region])</f>
        <v>Pershore</v>
      </c>
      <c r="J662" t="str">
        <f>_xlfn.XLOOKUP(AllDataApr[[#This Row],[Site Name]],LocationsKey[Site Name], LocationsKey[Waterway])</f>
        <v>Piddle Brook</v>
      </c>
      <c r="K662" t="s">
        <v>908</v>
      </c>
      <c r="L662">
        <v>52.126404000000001</v>
      </c>
      <c r="M662">
        <v>-2.0565410000000002</v>
      </c>
      <c r="N662" t="s">
        <v>14</v>
      </c>
      <c r="O662" s="7">
        <v>1030</v>
      </c>
      <c r="P662">
        <v>12.8</v>
      </c>
      <c r="Q662" s="7">
        <v>5</v>
      </c>
      <c r="R662" s="7" t="str">
        <f>IF(AllDataApr[[#This Row],[Nitrate (PPM)]]&gt;2, "Very high", IF(AllDataApr[[#This Row],[Nitrate (PPM)]]&gt;1, "High", IF(AllDataApr[[#This Row],[Nitrate (PPM)]]&gt;0.5, "Some evidence", IF(AllDataApr[[#This Row],[Nitrate (PPM)]]&gt;0, "No evidence", IF(AllDataApr[[#This Row],[Nitrate (PPM)]]=0, "")))))</f>
        <v>Very high</v>
      </c>
      <c r="S662" s="7">
        <v>0.72</v>
      </c>
      <c r="T662" s="7" t="str">
        <f>IF(AllDataApr[[#This Row],[Phosphate (PPM)]]&gt;0.5, "Very high", IF(AllDataApr[[#This Row],[Phosphate (PPM)]]&gt;0.1, "High", IF(AllDataApr[[#This Row],[Phosphate (PPM)]]&gt;0.05, "Some evidence", IF(AllDataApr[[#This Row],[Phosphate (PPM)]]=0, ""))))</f>
        <v>Very high</v>
      </c>
      <c r="U662">
        <v>0.37</v>
      </c>
      <c r="V662" t="s">
        <v>1298</v>
      </c>
    </row>
    <row r="663" spans="1:22" x14ac:dyDescent="0.3">
      <c r="A663" t="s">
        <v>1207</v>
      </c>
      <c r="B663" s="2">
        <v>45417</v>
      </c>
      <c r="C663" s="2" t="str" cm="1">
        <f t="array" ref="C66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63">
        <f>YEAR(AllDataApr[[#This Row],[Date]])</f>
        <v>2024</v>
      </c>
      <c r="E663" s="1">
        <v>0.41111111111111109</v>
      </c>
      <c r="F663" s="2" t="str">
        <f>IF(AND(AllDataApr[[#This Row],[Time]]&lt;0.5, AllDataApr[[#This Row],[Time]]&gt;0.17)=TRUE, "Morning", IF(AND(AllDataApr[[#This Row],[Time]]&lt;0.75, AllDataApr[[#This Row],[Time]]&gt;=0.5)=TRUE, "Afternoon", IF(AND(AllDataApr[[#This Row],[Time]]&lt;1, AllDataApr[[#This Row],[Time]]&gt;=0.75)=TRUE, "Evening", "Night")))</f>
        <v>Morning</v>
      </c>
      <c r="G663" t="s">
        <v>11</v>
      </c>
      <c r="H663" t="str">
        <f>_xlfn.XLOOKUP(AllDataApr[[#This Row],[Location Name]], Locations[Row Labels],Locations[Group As])</f>
        <v>Black Bear</v>
      </c>
      <c r="I663" t="str">
        <f>_xlfn.XLOOKUP(AllDataApr[[#This Row],[Site Name]],LocationsKey[Site Name],LocationsKey[Region])</f>
        <v>Tewkesbury</v>
      </c>
      <c r="J663" t="str">
        <f>_xlfn.XLOOKUP(AllDataApr[[#This Row],[Site Name]],LocationsKey[Site Name], LocationsKey[Waterway])</f>
        <v>Avon</v>
      </c>
      <c r="K663" t="s">
        <v>231</v>
      </c>
      <c r="L663">
        <v>51.997269000000003</v>
      </c>
      <c r="M663">
        <v>-2.1561880000000002</v>
      </c>
      <c r="N663" t="s">
        <v>14</v>
      </c>
      <c r="O663" s="7">
        <v>708</v>
      </c>
      <c r="P663">
        <v>15</v>
      </c>
      <c r="Q663" s="7">
        <v>3</v>
      </c>
      <c r="R663" s="7" t="str">
        <f>IF(AllDataApr[[#This Row],[Nitrate (PPM)]]&gt;2, "Very high", IF(AllDataApr[[#This Row],[Nitrate (PPM)]]&gt;1, "High", IF(AllDataApr[[#This Row],[Nitrate (PPM)]]&gt;0.5, "Some evidence", IF(AllDataApr[[#This Row],[Nitrate (PPM)]]&gt;0, "No evidence", IF(AllDataApr[[#This Row],[Nitrate (PPM)]]=0, "")))))</f>
        <v>Very high</v>
      </c>
      <c r="S663" s="7">
        <v>0.49</v>
      </c>
      <c r="T663" s="7" t="str">
        <f>IF(AllDataApr[[#This Row],[Phosphate (PPM)]]&gt;0.5, "Very high", IF(AllDataApr[[#This Row],[Phosphate (PPM)]]&gt;0.1, "High", IF(AllDataApr[[#This Row],[Phosphate (PPM)]]&gt;0.05, "Some evidence", IF(AllDataApr[[#This Row],[Phosphate (PPM)]]=0, ""))))</f>
        <v>High</v>
      </c>
      <c r="U663">
        <v>0</v>
      </c>
    </row>
    <row r="664" spans="1:22" x14ac:dyDescent="0.3">
      <c r="A664" t="s">
        <v>1203</v>
      </c>
      <c r="B664" s="2">
        <v>45417</v>
      </c>
      <c r="C664" s="2" t="str" cm="1">
        <f t="array" ref="C66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64">
        <f>YEAR(AllDataApr[[#This Row],[Date]])</f>
        <v>2024</v>
      </c>
      <c r="E664" s="1">
        <v>0.48958333333333331</v>
      </c>
      <c r="F664" s="2" t="str">
        <f>IF(AND(AllDataApr[[#This Row],[Time]]&lt;0.5, AllDataApr[[#This Row],[Time]]&gt;0.17)=TRUE, "Morning", IF(AND(AllDataApr[[#This Row],[Time]]&lt;0.75, AllDataApr[[#This Row],[Time]]&gt;=0.5)=TRUE, "Afternoon", IF(AND(AllDataApr[[#This Row],[Time]]&lt;1, AllDataApr[[#This Row],[Time]]&gt;=0.75)=TRUE, "Evening", "Night")))</f>
        <v>Morning</v>
      </c>
      <c r="G664" t="s">
        <v>52</v>
      </c>
      <c r="H664" t="str">
        <f>_xlfn.XLOOKUP(AllDataApr[[#This Row],[Location Name]], Locations[Row Labels],Locations[Group As])</f>
        <v>Carrant Bredon Rd</v>
      </c>
      <c r="I664" t="str">
        <f>_xlfn.XLOOKUP(AllDataApr[[#This Row],[Site Name]],LocationsKey[Site Name],LocationsKey[Region])</f>
        <v>Tewkesbury</v>
      </c>
      <c r="J664" t="str">
        <f>_xlfn.XLOOKUP(AllDataApr[[#This Row],[Site Name]],LocationsKey[Site Name], LocationsKey[Waterway])</f>
        <v>Carrant</v>
      </c>
      <c r="K664" t="s">
        <v>179</v>
      </c>
      <c r="L664">
        <v>51.996152000000002</v>
      </c>
      <c r="M664">
        <v>-2.15598</v>
      </c>
      <c r="N664" t="s">
        <v>200</v>
      </c>
      <c r="O664" s="7">
        <v>714</v>
      </c>
      <c r="P664">
        <v>13.7</v>
      </c>
      <c r="Q664" s="7">
        <v>7</v>
      </c>
      <c r="R664" s="7" t="str">
        <f>IF(AllDataApr[[#This Row],[Nitrate (PPM)]]&gt;2, "Very high", IF(AllDataApr[[#This Row],[Nitrate (PPM)]]&gt;1, "High", IF(AllDataApr[[#This Row],[Nitrate (PPM)]]&gt;0.5, "Some evidence", IF(AllDataApr[[#This Row],[Nitrate (PPM)]]&gt;0, "No evidence", IF(AllDataApr[[#This Row],[Nitrate (PPM)]]=0, "")))))</f>
        <v>Very high</v>
      </c>
      <c r="S664" s="7">
        <v>0.22</v>
      </c>
      <c r="T664" s="7" t="str">
        <f>IF(AllDataApr[[#This Row],[Phosphate (PPM)]]&gt;0.5, "Very high", IF(AllDataApr[[#This Row],[Phosphate (PPM)]]&gt;0.1, "High", IF(AllDataApr[[#This Row],[Phosphate (PPM)]]&gt;0.05, "Some evidence", IF(AllDataApr[[#This Row],[Phosphate (PPM)]]=0, ""))))</f>
        <v>High</v>
      </c>
      <c r="U664">
        <v>0.1</v>
      </c>
      <c r="V664" t="s">
        <v>1297</v>
      </c>
    </row>
    <row r="665" spans="1:22" x14ac:dyDescent="0.3">
      <c r="A665" t="s">
        <v>1194</v>
      </c>
      <c r="B665" s="2">
        <v>45417</v>
      </c>
      <c r="C665" s="2" t="str" cm="1">
        <f t="array" ref="C66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65">
        <f>YEAR(AllDataApr[[#This Row],[Date]])</f>
        <v>2024</v>
      </c>
      <c r="E665" s="1">
        <v>0.54166666666666663</v>
      </c>
      <c r="F665" s="2" t="str">
        <f>IF(AND(AllDataApr[[#This Row],[Time]]&lt;0.5, AllDataApr[[#This Row],[Time]]&gt;0.17)=TRUE, "Morning", IF(AND(AllDataApr[[#This Row],[Time]]&lt;0.75, AllDataApr[[#This Row],[Time]]&gt;=0.5)=TRUE, "Afternoon", IF(AND(AllDataApr[[#This Row],[Time]]&lt;1, AllDataApr[[#This Row],[Time]]&gt;=0.75)=TRUE, "Evening", "Night")))</f>
        <v>Afternoon</v>
      </c>
      <c r="G665" t="s">
        <v>1253</v>
      </c>
      <c r="H665" t="str">
        <f>_xlfn.XLOOKUP(AllDataApr[[#This Row],[Location Name]], Locations[Row Labels],Locations[Group As])</f>
        <v>Avonbank Drive</v>
      </c>
      <c r="I665" t="str">
        <f>_xlfn.XLOOKUP(AllDataApr[[#This Row],[Site Name]],LocationsKey[Site Name],LocationsKey[Region])</f>
        <v>Stratford</v>
      </c>
      <c r="J665" t="str">
        <f>_xlfn.XLOOKUP(AllDataApr[[#This Row],[Site Name]],LocationsKey[Site Name], LocationsKey[Waterway])</f>
        <v>Avon</v>
      </c>
      <c r="K665" t="s">
        <v>71</v>
      </c>
      <c r="L665">
        <v>43.328878000000003</v>
      </c>
      <c r="M665">
        <v>-81.129401000000001</v>
      </c>
      <c r="N665" t="s">
        <v>42</v>
      </c>
      <c r="O665" s="7">
        <v>873</v>
      </c>
      <c r="P665">
        <v>20.5</v>
      </c>
      <c r="Q665" s="7">
        <v>10</v>
      </c>
      <c r="R665" s="7" t="str">
        <f>IF(AllDataApr[[#This Row],[Nitrate (PPM)]]&gt;2, "Very high", IF(AllDataApr[[#This Row],[Nitrate (PPM)]]&gt;1, "High", IF(AllDataApr[[#This Row],[Nitrate (PPM)]]&gt;0.5, "Some evidence", IF(AllDataApr[[#This Row],[Nitrate (PPM)]]&gt;0, "No evidence", IF(AllDataApr[[#This Row],[Nitrate (PPM)]]=0, "")))))</f>
        <v>Very high</v>
      </c>
      <c r="S665" s="7">
        <v>0.32</v>
      </c>
      <c r="T665" s="7" t="str">
        <f>IF(AllDataApr[[#This Row],[Phosphate (PPM)]]&gt;0.5, "Very high", IF(AllDataApr[[#This Row],[Phosphate (PPM)]]&gt;0.1, "High", IF(AllDataApr[[#This Row],[Phosphate (PPM)]]&gt;0.05, "Some evidence", IF(AllDataApr[[#This Row],[Phosphate (PPM)]]=0, ""))))</f>
        <v>High</v>
      </c>
      <c r="U665">
        <v>0.76</v>
      </c>
    </row>
    <row r="666" spans="1:22" x14ac:dyDescent="0.3">
      <c r="A666" t="s">
        <v>1195</v>
      </c>
      <c r="B666" s="2">
        <v>45417</v>
      </c>
      <c r="C666" s="2" t="str" cm="1">
        <f t="array" ref="C66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66">
        <f>YEAR(AllDataApr[[#This Row],[Date]])</f>
        <v>2024</v>
      </c>
      <c r="E666" s="1">
        <v>0.54166666666666663</v>
      </c>
      <c r="F666" s="2" t="str">
        <f>IF(AND(AllDataApr[[#This Row],[Time]]&lt;0.5, AllDataApr[[#This Row],[Time]]&gt;0.17)=TRUE, "Morning", IF(AND(AllDataApr[[#This Row],[Time]]&lt;0.75, AllDataApr[[#This Row],[Time]]&gt;=0.5)=TRUE, "Afternoon", IF(AND(AllDataApr[[#This Row],[Time]]&lt;1, AllDataApr[[#This Row],[Time]]&gt;=0.75)=TRUE, "Evening", "Night")))</f>
        <v>Afternoon</v>
      </c>
      <c r="G666" t="s">
        <v>1253</v>
      </c>
      <c r="H666" t="str">
        <f>_xlfn.XLOOKUP(AllDataApr[[#This Row],[Location Name]], Locations[Row Labels],Locations[Group As])</f>
        <v>Pitch 16</v>
      </c>
      <c r="I666" t="str">
        <f>_xlfn.XLOOKUP(AllDataApr[[#This Row],[Site Name]],LocationsKey[Site Name],LocationsKey[Region])</f>
        <v>Stratford</v>
      </c>
      <c r="J666" t="str">
        <f>_xlfn.XLOOKUP(AllDataApr[[#This Row],[Site Name]],LocationsKey[Site Name], LocationsKey[Waterway])</f>
        <v>Avon</v>
      </c>
      <c r="K666" t="s">
        <v>39</v>
      </c>
      <c r="L666">
        <v>50.831715000000003</v>
      </c>
      <c r="M666">
        <v>-0.306093</v>
      </c>
      <c r="N666" t="s">
        <v>18</v>
      </c>
      <c r="O666" s="7">
        <v>863</v>
      </c>
      <c r="P666">
        <v>20.6</v>
      </c>
      <c r="Q666" s="7">
        <v>10</v>
      </c>
      <c r="R666" s="7" t="str">
        <f>IF(AllDataApr[[#This Row],[Nitrate (PPM)]]&gt;2, "Very high", IF(AllDataApr[[#This Row],[Nitrate (PPM)]]&gt;1, "High", IF(AllDataApr[[#This Row],[Nitrate (PPM)]]&gt;0.5, "Some evidence", IF(AllDataApr[[#This Row],[Nitrate (PPM)]]&gt;0, "No evidence", IF(AllDataApr[[#This Row],[Nitrate (PPM)]]=0, "")))))</f>
        <v>Very high</v>
      </c>
      <c r="S666" s="7">
        <v>0.17</v>
      </c>
      <c r="T666" s="7" t="str">
        <f>IF(AllDataApr[[#This Row],[Phosphate (PPM)]]&gt;0.5, "Very high", IF(AllDataApr[[#This Row],[Phosphate (PPM)]]&gt;0.1, "High", IF(AllDataApr[[#This Row],[Phosphate (PPM)]]&gt;0.05, "Some evidence", IF(AllDataApr[[#This Row],[Phosphate (PPM)]]=0, ""))))</f>
        <v>High</v>
      </c>
      <c r="U666">
        <v>0.76</v>
      </c>
    </row>
    <row r="667" spans="1:22" x14ac:dyDescent="0.3">
      <c r="A667" t="s">
        <v>1199</v>
      </c>
      <c r="B667" s="2">
        <v>45417</v>
      </c>
      <c r="C667" s="2" t="str" cm="1">
        <f t="array" ref="C66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67">
        <f>YEAR(AllDataApr[[#This Row],[Date]])</f>
        <v>2024</v>
      </c>
      <c r="E667" s="1">
        <v>0.58333333333333337</v>
      </c>
      <c r="F667" s="2" t="str">
        <f>IF(AND(AllDataApr[[#This Row],[Time]]&lt;0.5, AllDataApr[[#This Row],[Time]]&gt;0.17)=TRUE, "Morning", IF(AND(AllDataApr[[#This Row],[Time]]&lt;0.75, AllDataApr[[#This Row],[Time]]&gt;=0.5)=TRUE, "Afternoon", IF(AND(AllDataApr[[#This Row],[Time]]&lt;1, AllDataApr[[#This Row],[Time]]&gt;=0.75)=TRUE, "Evening", "Night")))</f>
        <v>Afternoon</v>
      </c>
      <c r="G667" t="s">
        <v>112</v>
      </c>
      <c r="H667" t="str">
        <f>_xlfn.XLOOKUP(AllDataApr[[#This Row],[Location Name]], Locations[Row Labels],Locations[Group As])</f>
        <v>Clifford Chambers Mill Bridge</v>
      </c>
      <c r="I667" t="str">
        <f>_xlfn.XLOOKUP(AllDataApr[[#This Row],[Site Name]],LocationsKey[Site Name],LocationsKey[Region])</f>
        <v>Stratford</v>
      </c>
      <c r="J667" t="str">
        <f>_xlfn.XLOOKUP(AllDataApr[[#This Row],[Site Name]],LocationsKey[Site Name], LocationsKey[Waterway])</f>
        <v>Stour</v>
      </c>
      <c r="K667" t="s">
        <v>119</v>
      </c>
      <c r="L667">
        <v>52.166370000000001</v>
      </c>
      <c r="M667">
        <v>-1.708032</v>
      </c>
      <c r="N667" t="s">
        <v>42</v>
      </c>
      <c r="O667" s="7">
        <v>616</v>
      </c>
      <c r="P667">
        <v>16</v>
      </c>
      <c r="Q667" s="7">
        <v>9</v>
      </c>
      <c r="R667" s="7" t="str">
        <f>IF(AllDataApr[[#This Row],[Nitrate (PPM)]]&gt;2, "Very high", IF(AllDataApr[[#This Row],[Nitrate (PPM)]]&gt;1, "High", IF(AllDataApr[[#This Row],[Nitrate (PPM)]]&gt;0.5, "Some evidence", IF(AllDataApr[[#This Row],[Nitrate (PPM)]]&gt;0, "No evidence", IF(AllDataApr[[#This Row],[Nitrate (PPM)]]=0, "")))))</f>
        <v>Very high</v>
      </c>
      <c r="S667" s="7">
        <v>0.2</v>
      </c>
      <c r="T667" s="7" t="str">
        <f>IF(AllDataApr[[#This Row],[Phosphate (PPM)]]&gt;0.5, "Very high", IF(AllDataApr[[#This Row],[Phosphate (PPM)]]&gt;0.1, "High", IF(AllDataApr[[#This Row],[Phosphate (PPM)]]&gt;0.05, "Some evidence", IF(AllDataApr[[#This Row],[Phosphate (PPM)]]=0, ""))))</f>
        <v>High</v>
      </c>
      <c r="U667">
        <v>0.8</v>
      </c>
    </row>
    <row r="668" spans="1:22" x14ac:dyDescent="0.3">
      <c r="A668" t="s">
        <v>1166</v>
      </c>
      <c r="B668" s="2">
        <v>45417</v>
      </c>
      <c r="C668" s="2" t="str" cm="1">
        <f t="array" ref="C66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68">
        <f>YEAR(AllDataApr[[#This Row],[Date]])</f>
        <v>2024</v>
      </c>
      <c r="E668" s="1">
        <v>0.63541666666666663</v>
      </c>
      <c r="F668" s="2" t="str">
        <f>IF(AND(AllDataApr[[#This Row],[Time]]&lt;0.5, AllDataApr[[#This Row],[Time]]&gt;0.17)=TRUE, "Morning", IF(AND(AllDataApr[[#This Row],[Time]]&lt;0.75, AllDataApr[[#This Row],[Time]]&gt;=0.5)=TRUE, "Afternoon", IF(AND(AllDataApr[[#This Row],[Time]]&lt;1, AllDataApr[[#This Row],[Time]]&gt;=0.75)=TRUE, "Evening", "Night")))</f>
        <v>Afternoon</v>
      </c>
      <c r="G668" t="s">
        <v>275</v>
      </c>
      <c r="H668" t="str">
        <f>_xlfn.XLOOKUP(AllDataApr[[#This Row],[Location Name]], Locations[Row Labels],Locations[Group As])</f>
        <v>Bell Brook 1</v>
      </c>
      <c r="I668" t="str">
        <f>_xlfn.XLOOKUP(AllDataApr[[#This Row],[Site Name]],LocationsKey[Site Name],LocationsKey[Region])</f>
        <v>Stratford</v>
      </c>
      <c r="J668" t="str">
        <f>_xlfn.XLOOKUP(AllDataApr[[#This Row],[Site Name]],LocationsKey[Site Name], LocationsKey[Waterway])</f>
        <v>Bell Brook</v>
      </c>
      <c r="K668" t="s">
        <v>279</v>
      </c>
      <c r="O668" s="7">
        <v>702</v>
      </c>
      <c r="P668">
        <v>14.6</v>
      </c>
      <c r="Q668" s="7">
        <v>6</v>
      </c>
      <c r="R668" s="7" t="str">
        <f>IF(AllDataApr[[#This Row],[Nitrate (PPM)]]&gt;2, "Very high", IF(AllDataApr[[#This Row],[Nitrate (PPM)]]&gt;1, "High", IF(AllDataApr[[#This Row],[Nitrate (PPM)]]&gt;0.5, "Some evidence", IF(AllDataApr[[#This Row],[Nitrate (PPM)]]&gt;0, "No evidence", IF(AllDataApr[[#This Row],[Nitrate (PPM)]]=0, "")))))</f>
        <v>Very high</v>
      </c>
      <c r="S668" s="7">
        <v>0.79</v>
      </c>
      <c r="T668" s="7" t="str">
        <f>IF(AllDataApr[[#This Row],[Phosphate (PPM)]]&gt;0.5, "Very high", IF(AllDataApr[[#This Row],[Phosphate (PPM)]]&gt;0.1, "High", IF(AllDataApr[[#This Row],[Phosphate (PPM)]]&gt;0.05, "Some evidence", IF(AllDataApr[[#This Row],[Phosphate (PPM)]]=0, ""))))</f>
        <v>Very high</v>
      </c>
      <c r="U668">
        <v>0.1</v>
      </c>
    </row>
    <row r="669" spans="1:22" x14ac:dyDescent="0.3">
      <c r="A669" t="s">
        <v>1167</v>
      </c>
      <c r="B669" s="2">
        <v>45417</v>
      </c>
      <c r="C669" s="2" t="str" cm="1">
        <f t="array" ref="C66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69">
        <f>YEAR(AllDataApr[[#This Row],[Date]])</f>
        <v>2024</v>
      </c>
      <c r="E669" s="1">
        <v>0.66388888888888886</v>
      </c>
      <c r="F669" s="2" t="str">
        <f>IF(AND(AllDataApr[[#This Row],[Time]]&lt;0.5, AllDataApr[[#This Row],[Time]]&gt;0.17)=TRUE, "Morning", IF(AND(AllDataApr[[#This Row],[Time]]&lt;0.75, AllDataApr[[#This Row],[Time]]&gt;=0.5)=TRUE, "Afternoon", IF(AND(AllDataApr[[#This Row],[Time]]&lt;1, AllDataApr[[#This Row],[Time]]&gt;=0.75)=TRUE, "Evening", "Night")))</f>
        <v>Afternoon</v>
      </c>
      <c r="G669" t="s">
        <v>275</v>
      </c>
      <c r="H669" t="str">
        <f>_xlfn.XLOOKUP(AllDataApr[[#This Row],[Location Name]], Locations[Row Labels],Locations[Group As])</f>
        <v>Sherbourne Brook 1</v>
      </c>
      <c r="I669" t="str">
        <f>_xlfn.XLOOKUP(AllDataApr[[#This Row],[Site Name]],LocationsKey[Site Name],LocationsKey[Region])</f>
        <v>Stratford</v>
      </c>
      <c r="J669" t="str">
        <f>_xlfn.XLOOKUP(AllDataApr[[#This Row],[Site Name]],LocationsKey[Site Name], LocationsKey[Waterway])</f>
        <v>Sherbourne Brook</v>
      </c>
      <c r="K669" t="s">
        <v>280</v>
      </c>
      <c r="O669" s="7">
        <v>1060</v>
      </c>
      <c r="P669">
        <v>14</v>
      </c>
      <c r="Q669" s="7">
        <v>8</v>
      </c>
      <c r="R669" s="7" t="str">
        <f>IF(AllDataApr[[#This Row],[Nitrate (PPM)]]&gt;2, "Very high", IF(AllDataApr[[#This Row],[Nitrate (PPM)]]&gt;1, "High", IF(AllDataApr[[#This Row],[Nitrate (PPM)]]&gt;0.5, "Some evidence", IF(AllDataApr[[#This Row],[Nitrate (PPM)]]&gt;0, "No evidence", IF(AllDataApr[[#This Row],[Nitrate (PPM)]]=0, "")))))</f>
        <v>Very high</v>
      </c>
      <c r="S669" s="7">
        <v>0.39</v>
      </c>
      <c r="T669" s="7" t="str">
        <f>IF(AllDataApr[[#This Row],[Phosphate (PPM)]]&gt;0.5, "Very high", IF(AllDataApr[[#This Row],[Phosphate (PPM)]]&gt;0.1, "High", IF(AllDataApr[[#This Row],[Phosphate (PPM)]]&gt;0.05, "Some evidence", IF(AllDataApr[[#This Row],[Phosphate (PPM)]]=0, ""))))</f>
        <v>High</v>
      </c>
      <c r="U669">
        <v>0.1</v>
      </c>
    </row>
    <row r="670" spans="1:22" x14ac:dyDescent="0.3">
      <c r="A670" t="s">
        <v>1202</v>
      </c>
      <c r="B670" s="2">
        <v>45417</v>
      </c>
      <c r="C670" s="2" t="str" cm="1">
        <f t="array" ref="C67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70">
        <f>YEAR(AllDataApr[[#This Row],[Date]])</f>
        <v>2024</v>
      </c>
      <c r="E670" s="1">
        <v>0.70138888888888884</v>
      </c>
      <c r="F670" s="2" t="str">
        <f>IF(AND(AllDataApr[[#This Row],[Time]]&lt;0.5, AllDataApr[[#This Row],[Time]]&gt;0.17)=TRUE, "Morning", IF(AND(AllDataApr[[#This Row],[Time]]&lt;0.75, AllDataApr[[#This Row],[Time]]&gt;=0.5)=TRUE, "Afternoon", IF(AND(AllDataApr[[#This Row],[Time]]&lt;1, AllDataApr[[#This Row],[Time]]&gt;=0.75)=TRUE, "Evening", "Night")))</f>
        <v>Afternoon</v>
      </c>
      <c r="G670" t="s">
        <v>900</v>
      </c>
      <c r="H670" t="str">
        <f>_xlfn.XLOOKUP(AllDataApr[[#This Row],[Location Name]], Locations[Row Labels],Locations[Group As])</f>
        <v>Fell Mill Footbridge</v>
      </c>
      <c r="I670" t="str">
        <f>_xlfn.XLOOKUP(AllDataApr[[#This Row],[Site Name]],LocationsKey[Site Name],LocationsKey[Region])</f>
        <v>Shipston</v>
      </c>
      <c r="J670" t="str">
        <f>_xlfn.XLOOKUP(AllDataApr[[#This Row],[Site Name]],LocationsKey[Site Name], LocationsKey[Waterway])</f>
        <v>Stour</v>
      </c>
      <c r="K670" t="s">
        <v>910</v>
      </c>
      <c r="L670">
        <v>52.070086000000003</v>
      </c>
      <c r="M670">
        <v>-1.61145</v>
      </c>
      <c r="N670" t="s">
        <v>18</v>
      </c>
      <c r="O670" s="7">
        <v>632</v>
      </c>
      <c r="P670">
        <v>13.3</v>
      </c>
      <c r="Q670" s="7">
        <v>5</v>
      </c>
      <c r="R670" s="7" t="str">
        <f>IF(AllDataApr[[#This Row],[Nitrate (PPM)]]&gt;2, "Very high", IF(AllDataApr[[#This Row],[Nitrate (PPM)]]&gt;1, "High", IF(AllDataApr[[#This Row],[Nitrate (PPM)]]&gt;0.5, "Some evidence", IF(AllDataApr[[#This Row],[Nitrate (PPM)]]&gt;0, "No evidence", IF(AllDataApr[[#This Row],[Nitrate (PPM)]]=0, "")))))</f>
        <v>Very high</v>
      </c>
      <c r="S670" s="7">
        <v>0.31</v>
      </c>
      <c r="T670" s="7" t="str">
        <f>IF(AllDataApr[[#This Row],[Phosphate (PPM)]]&gt;0.5, "Very high", IF(AllDataApr[[#This Row],[Phosphate (PPM)]]&gt;0.1, "High", IF(AllDataApr[[#This Row],[Phosphate (PPM)]]&gt;0.05, "Some evidence", IF(AllDataApr[[#This Row],[Phosphate (PPM)]]=0, ""))))</f>
        <v>High</v>
      </c>
      <c r="U670">
        <v>1.49</v>
      </c>
      <c r="V670" t="s">
        <v>1296</v>
      </c>
    </row>
    <row r="671" spans="1:22" x14ac:dyDescent="0.3">
      <c r="A671" t="s">
        <v>1201</v>
      </c>
      <c r="B671" s="2">
        <v>45418</v>
      </c>
      <c r="C671" s="2" t="str" cm="1">
        <f t="array" ref="C67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71">
        <f>YEAR(AllDataApr[[#This Row],[Date]])</f>
        <v>2024</v>
      </c>
      <c r="E671" s="1">
        <v>0.44583333333333336</v>
      </c>
      <c r="F671" s="2" t="str">
        <f>IF(AND(AllDataApr[[#This Row],[Time]]&lt;0.5, AllDataApr[[#This Row],[Time]]&gt;0.17)=TRUE, "Morning", IF(AND(AllDataApr[[#This Row],[Time]]&lt;0.75, AllDataApr[[#This Row],[Time]]&gt;=0.5)=TRUE, "Afternoon", IF(AND(AllDataApr[[#This Row],[Time]]&lt;1, AllDataApr[[#This Row],[Time]]&gt;=0.75)=TRUE, "Evening", "Night")))</f>
        <v>Morning</v>
      </c>
      <c r="G671" t="s">
        <v>150</v>
      </c>
      <c r="H671" t="str">
        <f>_xlfn.XLOOKUP(AllDataApr[[#This Row],[Location Name]], Locations[Row Labels],Locations[Group As])</f>
        <v>Stour Stretton-on-Fosse Village</v>
      </c>
      <c r="I671" t="str">
        <f>_xlfn.XLOOKUP(AllDataApr[[#This Row],[Site Name]],LocationsKey[Site Name],LocationsKey[Region])</f>
        <v>Shipston</v>
      </c>
      <c r="J671" t="str">
        <f>_xlfn.XLOOKUP(AllDataApr[[#This Row],[Site Name]],LocationsKey[Site Name], LocationsKey[Waterway])</f>
        <v>Stour</v>
      </c>
      <c r="K671" t="s">
        <v>198</v>
      </c>
      <c r="L671">
        <v>52.046545999999999</v>
      </c>
      <c r="M671">
        <v>-1.6733910000000001</v>
      </c>
      <c r="N671" t="s">
        <v>42</v>
      </c>
      <c r="O671" s="7">
        <v>744</v>
      </c>
      <c r="P671">
        <v>12.7</v>
      </c>
      <c r="Q671" s="7">
        <v>2</v>
      </c>
      <c r="R671" s="7" t="str">
        <f>IF(AllDataApr[[#This Row],[Nitrate (PPM)]]&gt;2, "Very high", IF(AllDataApr[[#This Row],[Nitrate (PPM)]]&gt;1, "High", IF(AllDataApr[[#This Row],[Nitrate (PPM)]]&gt;0.5, "Some evidence", IF(AllDataApr[[#This Row],[Nitrate (PPM)]]&gt;0, "No evidence", IF(AllDataApr[[#This Row],[Nitrate (PPM)]]=0, "")))))</f>
        <v>High</v>
      </c>
      <c r="S671" s="7">
        <v>1.72</v>
      </c>
      <c r="T671" s="7" t="str">
        <f>IF(AllDataApr[[#This Row],[Phosphate (PPM)]]&gt;0.5, "Very high", IF(AllDataApr[[#This Row],[Phosphate (PPM)]]&gt;0.1, "High", IF(AllDataApr[[#This Row],[Phosphate (PPM)]]&gt;0.05, "Some evidence", IF(AllDataApr[[#This Row],[Phosphate (PPM)]]=0, ""))))</f>
        <v>Very high</v>
      </c>
      <c r="U671">
        <v>0.2</v>
      </c>
    </row>
    <row r="672" spans="1:22" x14ac:dyDescent="0.3">
      <c r="A672" t="s">
        <v>1200</v>
      </c>
      <c r="B672" s="2">
        <v>45418</v>
      </c>
      <c r="C672" s="2" t="str" cm="1">
        <f t="array" ref="C67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72">
        <f>YEAR(AllDataApr[[#This Row],[Date]])</f>
        <v>2024</v>
      </c>
      <c r="E672" s="1">
        <v>0.45555555555555555</v>
      </c>
      <c r="F672" s="2" t="str">
        <f>IF(AND(AllDataApr[[#This Row],[Time]]&lt;0.5, AllDataApr[[#This Row],[Time]]&gt;0.17)=TRUE, "Morning", IF(AND(AllDataApr[[#This Row],[Time]]&lt;0.75, AllDataApr[[#This Row],[Time]]&gt;=0.5)=TRUE, "Afternoon", IF(AND(AllDataApr[[#This Row],[Time]]&lt;1, AllDataApr[[#This Row],[Time]]&gt;=0.75)=TRUE, "Evening", "Night")))</f>
        <v>Morning</v>
      </c>
      <c r="G672" t="s">
        <v>150</v>
      </c>
      <c r="H672" t="str">
        <f>_xlfn.XLOOKUP(AllDataApr[[#This Row],[Location Name]], Locations[Row Labels],Locations[Group As])</f>
        <v>Stour Stretton-on-Fosse Sewage Works</v>
      </c>
      <c r="I672" t="str">
        <f>_xlfn.XLOOKUP(AllDataApr[[#This Row],[Site Name]],LocationsKey[Site Name],LocationsKey[Region])</f>
        <v>Shipston</v>
      </c>
      <c r="J672" t="str">
        <f>_xlfn.XLOOKUP(AllDataApr[[#This Row],[Site Name]],LocationsKey[Site Name], LocationsKey[Waterway])</f>
        <v>Stour</v>
      </c>
      <c r="K672" t="s">
        <v>151</v>
      </c>
      <c r="L672">
        <v>52.045641000000003</v>
      </c>
      <c r="M672">
        <v>-1.6719269999999999</v>
      </c>
      <c r="N672" t="s">
        <v>18</v>
      </c>
      <c r="O672" s="7">
        <v>778</v>
      </c>
      <c r="P672">
        <v>12.6</v>
      </c>
      <c r="Q672" s="7">
        <v>5</v>
      </c>
      <c r="R672" s="7" t="str">
        <f>IF(AllDataApr[[#This Row],[Nitrate (PPM)]]&gt;2, "Very high", IF(AllDataApr[[#This Row],[Nitrate (PPM)]]&gt;1, "High", IF(AllDataApr[[#This Row],[Nitrate (PPM)]]&gt;0.5, "Some evidence", IF(AllDataApr[[#This Row],[Nitrate (PPM)]]&gt;0, "No evidence", IF(AllDataApr[[#This Row],[Nitrate (PPM)]]=0, "")))))</f>
        <v>Very high</v>
      </c>
      <c r="S672" s="7">
        <v>2.5</v>
      </c>
      <c r="T672" s="7" t="str">
        <f>IF(AllDataApr[[#This Row],[Phosphate (PPM)]]&gt;0.5, "Very high", IF(AllDataApr[[#This Row],[Phosphate (PPM)]]&gt;0.1, "High", IF(AllDataApr[[#This Row],[Phosphate (PPM)]]&gt;0.05, "Some evidence", IF(AllDataApr[[#This Row],[Phosphate (PPM)]]=0, ""))))</f>
        <v>Very high</v>
      </c>
      <c r="U672">
        <v>0.25</v>
      </c>
      <c r="V672" t="s">
        <v>1295</v>
      </c>
    </row>
    <row r="673" spans="1:22" x14ac:dyDescent="0.3">
      <c r="A673" t="s">
        <v>1152</v>
      </c>
      <c r="B673" s="2">
        <v>45418</v>
      </c>
      <c r="C673" s="2" t="str" cm="1">
        <f t="array" ref="C67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73">
        <f>YEAR(AllDataApr[[#This Row],[Date]])</f>
        <v>2024</v>
      </c>
      <c r="E673" s="1">
        <v>0.53125</v>
      </c>
      <c r="F673" s="2" t="str">
        <f>IF(AND(AllDataApr[[#This Row],[Time]]&lt;0.5, AllDataApr[[#This Row],[Time]]&gt;0.17)=TRUE, "Morning", IF(AND(AllDataApr[[#This Row],[Time]]&lt;0.75, AllDataApr[[#This Row],[Time]]&gt;=0.5)=TRUE, "Afternoon", IF(AND(AllDataApr[[#This Row],[Time]]&lt;1, AllDataApr[[#This Row],[Time]]&gt;=0.75)=TRUE, "Evening", "Night")))</f>
        <v>Afternoon</v>
      </c>
      <c r="G673" t="s">
        <v>277</v>
      </c>
      <c r="H673" t="str">
        <f>_xlfn.XLOOKUP(AllDataApr[[#This Row],[Location Name]], Locations[Row Labels],Locations[Group As])</f>
        <v>Mill Bridge Peopleton</v>
      </c>
      <c r="I673" t="str">
        <f>_xlfn.XLOOKUP(AllDataApr[[#This Row],[Site Name]],LocationsKey[Site Name],LocationsKey[Region])</f>
        <v>Pershore</v>
      </c>
      <c r="J673" t="str">
        <f>_xlfn.XLOOKUP(AllDataApr[[#This Row],[Site Name]],LocationsKey[Site Name], LocationsKey[Waterway])</f>
        <v>Bow Brook</v>
      </c>
      <c r="K673" t="s">
        <v>916</v>
      </c>
      <c r="L673">
        <v>52.154204</v>
      </c>
      <c r="M673">
        <v>-2.0905659999999999</v>
      </c>
      <c r="N673" t="s">
        <v>18</v>
      </c>
      <c r="O673" s="7">
        <v>940</v>
      </c>
      <c r="P673">
        <v>14.8</v>
      </c>
      <c r="Q673" s="7">
        <v>5</v>
      </c>
      <c r="R673" s="7" t="str">
        <f>IF(AllDataApr[[#This Row],[Nitrate (PPM)]]&gt;2, "Very high", IF(AllDataApr[[#This Row],[Nitrate (PPM)]]&gt;1, "High", IF(AllDataApr[[#This Row],[Nitrate (PPM)]]&gt;0.5, "Some evidence", IF(AllDataApr[[#This Row],[Nitrate (PPM)]]&gt;0, "No evidence", IF(AllDataApr[[#This Row],[Nitrate (PPM)]]=0, "")))))</f>
        <v>Very high</v>
      </c>
      <c r="S673" s="7">
        <v>1.0900000000000001</v>
      </c>
      <c r="T673" s="7" t="str">
        <f>IF(AllDataApr[[#This Row],[Phosphate (PPM)]]&gt;0.5, "Very high", IF(AllDataApr[[#This Row],[Phosphate (PPM)]]&gt;0.1, "High", IF(AllDataApr[[#This Row],[Phosphate (PPM)]]&gt;0.05, "Some evidence", IF(AllDataApr[[#This Row],[Phosphate (PPM)]]=0, ""))))</f>
        <v>Very high</v>
      </c>
      <c r="U673">
        <v>0.45</v>
      </c>
    </row>
    <row r="674" spans="1:22" x14ac:dyDescent="0.3">
      <c r="A674" t="s">
        <v>1198</v>
      </c>
      <c r="B674" s="2">
        <v>45418</v>
      </c>
      <c r="C674" s="2" t="str" cm="1">
        <f t="array" ref="C67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74">
        <f>YEAR(AllDataApr[[#This Row],[Date]])</f>
        <v>2024</v>
      </c>
      <c r="E674" s="1">
        <v>0.59722222222222221</v>
      </c>
      <c r="F674" s="2" t="str">
        <f>IF(AND(AllDataApr[[#This Row],[Time]]&lt;0.5, AllDataApr[[#This Row],[Time]]&gt;0.17)=TRUE, "Morning", IF(AND(AllDataApr[[#This Row],[Time]]&lt;0.75, AllDataApr[[#This Row],[Time]]&gt;=0.5)=TRUE, "Afternoon", IF(AND(AllDataApr[[#This Row],[Time]]&lt;1, AllDataApr[[#This Row],[Time]]&gt;=0.75)=TRUE, "Evening", "Night")))</f>
        <v>Afternoon</v>
      </c>
      <c r="G674" t="s">
        <v>139</v>
      </c>
      <c r="H674" t="str">
        <f>_xlfn.XLOOKUP(AllDataApr[[#This Row],[Location Name]], Locations[Row Labels],Locations[Group As])</f>
        <v>Swiffen Bank</v>
      </c>
      <c r="I674" t="str">
        <f>_xlfn.XLOOKUP(AllDataApr[[#This Row],[Site Name]],LocationsKey[Site Name],LocationsKey[Region])</f>
        <v>Stratford</v>
      </c>
      <c r="J674" t="str">
        <f>_xlfn.XLOOKUP(AllDataApr[[#This Row],[Site Name]],LocationsKey[Site Name], LocationsKey[Waterway])</f>
        <v>Avon</v>
      </c>
      <c r="K674" t="s">
        <v>130</v>
      </c>
      <c r="L674">
        <v>52.206477999999997</v>
      </c>
      <c r="M674">
        <v>-1.653894</v>
      </c>
      <c r="N674" t="s">
        <v>18</v>
      </c>
      <c r="O674" s="7">
        <v>656</v>
      </c>
      <c r="P674">
        <v>15.1</v>
      </c>
      <c r="Q674" s="7">
        <v>10</v>
      </c>
      <c r="R674" s="7" t="str">
        <f>IF(AllDataApr[[#This Row],[Nitrate (PPM)]]&gt;2, "Very high", IF(AllDataApr[[#This Row],[Nitrate (PPM)]]&gt;1, "High", IF(AllDataApr[[#This Row],[Nitrate (PPM)]]&gt;0.5, "Some evidence", IF(AllDataApr[[#This Row],[Nitrate (PPM)]]&gt;0, "No evidence", IF(AllDataApr[[#This Row],[Nitrate (PPM)]]=0, "")))))</f>
        <v>Very high</v>
      </c>
      <c r="S674" s="7">
        <v>0.36</v>
      </c>
      <c r="T674" s="7" t="str">
        <f>IF(AllDataApr[[#This Row],[Phosphate (PPM)]]&gt;0.5, "Very high", IF(AllDataApr[[#This Row],[Phosphate (PPM)]]&gt;0.1, "High", IF(AllDataApr[[#This Row],[Phosphate (PPM)]]&gt;0.05, "Some evidence", IF(AllDataApr[[#This Row],[Phosphate (PPM)]]=0, ""))))</f>
        <v>High</v>
      </c>
      <c r="U674">
        <v>0</v>
      </c>
      <c r="V674" t="s">
        <v>1294</v>
      </c>
    </row>
    <row r="675" spans="1:22" x14ac:dyDescent="0.3">
      <c r="A675" t="s">
        <v>1189</v>
      </c>
      <c r="B675" s="2">
        <v>45419</v>
      </c>
      <c r="C675" s="2" t="str" cm="1">
        <f t="array" ref="C67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75">
        <f>YEAR(AllDataApr[[#This Row],[Date]])</f>
        <v>2024</v>
      </c>
      <c r="E675" s="1">
        <v>0.61458333333333337</v>
      </c>
      <c r="F675" s="2" t="str">
        <f>IF(AND(AllDataApr[[#This Row],[Time]]&lt;0.5, AllDataApr[[#This Row],[Time]]&gt;0.17)=TRUE, "Morning", IF(AND(AllDataApr[[#This Row],[Time]]&lt;0.75, AllDataApr[[#This Row],[Time]]&gt;=0.5)=TRUE, "Afternoon", IF(AND(AllDataApr[[#This Row],[Time]]&lt;1, AllDataApr[[#This Row],[Time]]&gt;=0.75)=TRUE, "Evening", "Night")))</f>
        <v>Afternoon</v>
      </c>
      <c r="G675" t="s">
        <v>274</v>
      </c>
      <c r="H675" t="str">
        <f>_xlfn.XLOOKUP(AllDataApr[[#This Row],[Location Name]], Locations[Row Labels],Locations[Group As])</f>
        <v>Abbey Mill</v>
      </c>
      <c r="I675" t="str">
        <f>_xlfn.XLOOKUP(AllDataApr[[#This Row],[Site Name]],LocationsKey[Site Name],LocationsKey[Region])</f>
        <v>Tewkesbury</v>
      </c>
      <c r="J675" t="str">
        <f>_xlfn.XLOOKUP(AllDataApr[[#This Row],[Site Name]],LocationsKey[Site Name], LocationsKey[Waterway])</f>
        <v>Avon</v>
      </c>
      <c r="K675" t="s">
        <v>13</v>
      </c>
      <c r="L675">
        <v>51.991245999999997</v>
      </c>
      <c r="M675">
        <v>-2.1626810000000001</v>
      </c>
      <c r="N675" t="s">
        <v>1270</v>
      </c>
      <c r="O675" s="7">
        <v>742</v>
      </c>
      <c r="P675">
        <v>15.7</v>
      </c>
      <c r="Q675" s="7">
        <v>9</v>
      </c>
      <c r="R675" s="7" t="str">
        <f>IF(AllDataApr[[#This Row],[Nitrate (PPM)]]&gt;2, "Very high", IF(AllDataApr[[#This Row],[Nitrate (PPM)]]&gt;1, "High", IF(AllDataApr[[#This Row],[Nitrate (PPM)]]&gt;0.5, "Some evidence", IF(AllDataApr[[#This Row],[Nitrate (PPM)]]&gt;0, "No evidence", IF(AllDataApr[[#This Row],[Nitrate (PPM)]]=0, "")))))</f>
        <v>Very high</v>
      </c>
      <c r="S675" s="7">
        <v>0.52</v>
      </c>
      <c r="T675" s="7" t="str">
        <f>IF(AllDataApr[[#This Row],[Phosphate (PPM)]]&gt;0.5, "Very high", IF(AllDataApr[[#This Row],[Phosphate (PPM)]]&gt;0.1, "High", IF(AllDataApr[[#This Row],[Phosphate (PPM)]]&gt;0.05, "Some evidence", IF(AllDataApr[[#This Row],[Phosphate (PPM)]]=0, ""))))</f>
        <v>Very high</v>
      </c>
      <c r="U675">
        <v>0.8</v>
      </c>
      <c r="V675" t="s">
        <v>1293</v>
      </c>
    </row>
    <row r="676" spans="1:22" x14ac:dyDescent="0.3">
      <c r="A676" t="s">
        <v>1188</v>
      </c>
      <c r="B676" s="2">
        <v>45419</v>
      </c>
      <c r="C676" s="2" t="str" cm="1">
        <f t="array" ref="C67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76">
        <f>YEAR(AllDataApr[[#This Row],[Date]])</f>
        <v>2024</v>
      </c>
      <c r="E676" s="1">
        <v>0.62152777777777779</v>
      </c>
      <c r="F676" s="2" t="str">
        <f>IF(AND(AllDataApr[[#This Row],[Time]]&lt;0.5, AllDataApr[[#This Row],[Time]]&gt;0.17)=TRUE, "Morning", IF(AND(AllDataApr[[#This Row],[Time]]&lt;0.75, AllDataApr[[#This Row],[Time]]&gt;=0.5)=TRUE, "Afternoon", IF(AND(AllDataApr[[#This Row],[Time]]&lt;1, AllDataApr[[#This Row],[Time]]&gt;=0.75)=TRUE, "Evening", "Night")))</f>
        <v>Afternoon</v>
      </c>
      <c r="G676" t="s">
        <v>129</v>
      </c>
      <c r="H676" t="str">
        <f>_xlfn.XLOOKUP(AllDataApr[[#This Row],[Location Name]], Locations[Row Labels],Locations[Group As])</f>
        <v>Alveston Weir</v>
      </c>
      <c r="I676" t="str">
        <f>_xlfn.XLOOKUP(AllDataApr[[#This Row],[Site Name]],LocationsKey[Site Name],LocationsKey[Region])</f>
        <v>Stratford</v>
      </c>
      <c r="J676" t="str">
        <f>_xlfn.XLOOKUP(AllDataApr[[#This Row],[Site Name]],LocationsKey[Site Name], LocationsKey[Waterway])</f>
        <v>Avon</v>
      </c>
      <c r="K676" t="s">
        <v>128</v>
      </c>
      <c r="L676">
        <v>52.212288999999998</v>
      </c>
      <c r="M676">
        <v>-1.66452</v>
      </c>
      <c r="N676" t="s">
        <v>18</v>
      </c>
      <c r="O676" s="7">
        <v>630</v>
      </c>
      <c r="P676">
        <v>18.399999999999999</v>
      </c>
      <c r="Q676" s="7">
        <v>5</v>
      </c>
      <c r="R676" s="7" t="str">
        <f>IF(AllDataApr[[#This Row],[Nitrate (PPM)]]&gt;2, "Very high", IF(AllDataApr[[#This Row],[Nitrate (PPM)]]&gt;1, "High", IF(AllDataApr[[#This Row],[Nitrate (PPM)]]&gt;0.5, "Some evidence", IF(AllDataApr[[#This Row],[Nitrate (PPM)]]&gt;0, "No evidence", IF(AllDataApr[[#This Row],[Nitrate (PPM)]]=0, "")))))</f>
        <v>Very high</v>
      </c>
      <c r="S676" s="7">
        <v>0.35</v>
      </c>
      <c r="T676" s="7" t="str">
        <f>IF(AllDataApr[[#This Row],[Phosphate (PPM)]]&gt;0.5, "Very high", IF(AllDataApr[[#This Row],[Phosphate (PPM)]]&gt;0.1, "High", IF(AllDataApr[[#This Row],[Phosphate (PPM)]]&gt;0.05, "Some evidence", IF(AllDataApr[[#This Row],[Phosphate (PPM)]]=0, ""))))</f>
        <v>High</v>
      </c>
      <c r="U676">
        <v>0</v>
      </c>
      <c r="V676" t="s">
        <v>1292</v>
      </c>
    </row>
    <row r="677" spans="1:22" x14ac:dyDescent="0.3">
      <c r="A677" t="s">
        <v>1187</v>
      </c>
      <c r="B677" s="2">
        <v>45420</v>
      </c>
      <c r="C677" s="2" t="str" cm="1">
        <f t="array" ref="C67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77">
        <f>YEAR(AllDataApr[[#This Row],[Date]])</f>
        <v>2024</v>
      </c>
      <c r="E677" s="1">
        <v>0.37638888888888888</v>
      </c>
      <c r="F677" s="2" t="str">
        <f>IF(AND(AllDataApr[[#This Row],[Time]]&lt;0.5, AllDataApr[[#This Row],[Time]]&gt;0.17)=TRUE, "Morning", IF(AND(AllDataApr[[#This Row],[Time]]&lt;0.75, AllDataApr[[#This Row],[Time]]&gt;=0.5)=TRUE, "Afternoon", IF(AND(AllDataApr[[#This Row],[Time]]&lt;1, AllDataApr[[#This Row],[Time]]&gt;=0.75)=TRUE, "Evening", "Night")))</f>
        <v>Morning</v>
      </c>
      <c r="G677" t="s">
        <v>11</v>
      </c>
      <c r="H677" t="str">
        <f>_xlfn.XLOOKUP(AllDataApr[[#This Row],[Location Name]], Locations[Row Labels],Locations[Group As])</f>
        <v>Carrant Mitton Path</v>
      </c>
      <c r="I677" t="str">
        <f>_xlfn.XLOOKUP(AllDataApr[[#This Row],[Site Name]],LocationsKey[Site Name],LocationsKey[Region])</f>
        <v>Tewkesbury</v>
      </c>
      <c r="J677" t="str">
        <f>_xlfn.XLOOKUP(AllDataApr[[#This Row],[Site Name]],LocationsKey[Site Name], LocationsKey[Waterway])</f>
        <v>Carrant</v>
      </c>
      <c r="K677" t="s">
        <v>1022</v>
      </c>
      <c r="L677">
        <v>52.000038000000004</v>
      </c>
      <c r="M677">
        <v>-2.1421450000000002</v>
      </c>
      <c r="N677" t="s">
        <v>14</v>
      </c>
      <c r="O677" s="7">
        <v>580</v>
      </c>
      <c r="P677">
        <v>15.8</v>
      </c>
      <c r="Q677" s="7">
        <v>8</v>
      </c>
      <c r="R677" s="7" t="str">
        <f>IF(AllDataApr[[#This Row],[Nitrate (PPM)]]&gt;2, "Very high", IF(AllDataApr[[#This Row],[Nitrate (PPM)]]&gt;1, "High", IF(AllDataApr[[#This Row],[Nitrate (PPM)]]&gt;0.5, "Some evidence", IF(AllDataApr[[#This Row],[Nitrate (PPM)]]&gt;0, "No evidence", IF(AllDataApr[[#This Row],[Nitrate (PPM)]]=0, "")))))</f>
        <v>Very high</v>
      </c>
      <c r="S677" s="7">
        <v>0.73</v>
      </c>
      <c r="T677" s="7" t="str">
        <f>IF(AllDataApr[[#This Row],[Phosphate (PPM)]]&gt;0.5, "Very high", IF(AllDataApr[[#This Row],[Phosphate (PPM)]]&gt;0.1, "High", IF(AllDataApr[[#This Row],[Phosphate (PPM)]]&gt;0.05, "Some evidence", IF(AllDataApr[[#This Row],[Phosphate (PPM)]]=0, ""))))</f>
        <v>Very high</v>
      </c>
      <c r="U677">
        <v>1.5</v>
      </c>
    </row>
    <row r="678" spans="1:22" x14ac:dyDescent="0.3">
      <c r="A678" t="s">
        <v>1186</v>
      </c>
      <c r="B678" s="2">
        <v>45420</v>
      </c>
      <c r="C678" s="2" t="str" cm="1">
        <f t="array" ref="C67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78">
        <f>YEAR(AllDataApr[[#This Row],[Date]])</f>
        <v>2024</v>
      </c>
      <c r="E678" s="1">
        <v>0.39166666666666666</v>
      </c>
      <c r="F678" s="2" t="str">
        <f>IF(AND(AllDataApr[[#This Row],[Time]]&lt;0.5, AllDataApr[[#This Row],[Time]]&gt;0.17)=TRUE, "Morning", IF(AND(AllDataApr[[#This Row],[Time]]&lt;0.75, AllDataApr[[#This Row],[Time]]&gt;=0.5)=TRUE, "Afternoon", IF(AND(AllDataApr[[#This Row],[Time]]&lt;1, AllDataApr[[#This Row],[Time]]&gt;=0.75)=TRUE, "Evening", "Night")))</f>
        <v>Morning</v>
      </c>
      <c r="G678" t="s">
        <v>11</v>
      </c>
      <c r="H678" t="str">
        <f>_xlfn.XLOOKUP(AllDataApr[[#This Row],[Location Name]], Locations[Row Labels],Locations[Group As])</f>
        <v>Carrant M5 Bridge</v>
      </c>
      <c r="I678" t="str">
        <f>_xlfn.XLOOKUP(AllDataApr[[#This Row],[Site Name]],LocationsKey[Site Name],LocationsKey[Region])</f>
        <v>Tewkesbury</v>
      </c>
      <c r="J678" t="str">
        <f>_xlfn.XLOOKUP(AllDataApr[[#This Row],[Site Name]],LocationsKey[Site Name], LocationsKey[Waterway])</f>
        <v>Carrant</v>
      </c>
      <c r="K678" t="s">
        <v>913</v>
      </c>
      <c r="L678">
        <v>52.011822000000002</v>
      </c>
      <c r="M678">
        <v>-2.1201530000000002</v>
      </c>
      <c r="N678" t="s">
        <v>14</v>
      </c>
      <c r="O678" s="7">
        <v>648</v>
      </c>
      <c r="P678">
        <v>15</v>
      </c>
      <c r="Q678" s="7">
        <v>10</v>
      </c>
      <c r="R678" s="7" t="str">
        <f>IF(AllDataApr[[#This Row],[Nitrate (PPM)]]&gt;2, "Very high", IF(AllDataApr[[#This Row],[Nitrate (PPM)]]&gt;1, "High", IF(AllDataApr[[#This Row],[Nitrate (PPM)]]&gt;0.5, "Some evidence", IF(AllDataApr[[#This Row],[Nitrate (PPM)]]&gt;0, "No evidence", IF(AllDataApr[[#This Row],[Nitrate (PPM)]]=0, "")))))</f>
        <v>Very high</v>
      </c>
      <c r="S678" s="7">
        <v>0.32</v>
      </c>
      <c r="T678" s="7" t="str">
        <f>IF(AllDataApr[[#This Row],[Phosphate (PPM)]]&gt;0.5, "Very high", IF(AllDataApr[[#This Row],[Phosphate (PPM)]]&gt;0.1, "High", IF(AllDataApr[[#This Row],[Phosphate (PPM)]]&gt;0.05, "Some evidence", IF(AllDataApr[[#This Row],[Phosphate (PPM)]]=0, ""))))</f>
        <v>High</v>
      </c>
      <c r="U678">
        <v>1.5</v>
      </c>
    </row>
    <row r="679" spans="1:22" x14ac:dyDescent="0.3">
      <c r="A679" t="s">
        <v>1185</v>
      </c>
      <c r="B679" s="2">
        <v>45420</v>
      </c>
      <c r="C679" s="2" t="str" cm="1">
        <f t="array" ref="C67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79">
        <f>YEAR(AllDataApr[[#This Row],[Date]])</f>
        <v>2024</v>
      </c>
      <c r="E679" s="1">
        <v>0.51111111111111107</v>
      </c>
      <c r="F679" s="2" t="str">
        <f>IF(AND(AllDataApr[[#This Row],[Time]]&lt;0.5, AllDataApr[[#This Row],[Time]]&gt;0.17)=TRUE, "Morning", IF(AND(AllDataApr[[#This Row],[Time]]&lt;0.75, AllDataApr[[#This Row],[Time]]&gt;=0.5)=TRUE, "Afternoon", IF(AND(AllDataApr[[#This Row],[Time]]&lt;1, AllDataApr[[#This Row],[Time]]&gt;=0.75)=TRUE, "Evening", "Night")))</f>
        <v>Afternoon</v>
      </c>
      <c r="G679" t="s">
        <v>16</v>
      </c>
      <c r="H679" t="str">
        <f>_xlfn.XLOOKUP(AllDataApr[[#This Row],[Location Name]], Locations[Row Labels],Locations[Group As])</f>
        <v>Twyning Fleet</v>
      </c>
      <c r="I679" t="str">
        <f>_xlfn.XLOOKUP(AllDataApr[[#This Row],[Site Name]],LocationsKey[Site Name],LocationsKey[Region])</f>
        <v>Tewkesbury</v>
      </c>
      <c r="J679" t="str">
        <f>_xlfn.XLOOKUP(AllDataApr[[#This Row],[Site Name]],LocationsKey[Site Name], LocationsKey[Waterway])</f>
        <v>Avon</v>
      </c>
      <c r="K679" t="s">
        <v>32</v>
      </c>
      <c r="L679">
        <v>52.027543999999999</v>
      </c>
      <c r="M679">
        <v>-2.1405639999999999</v>
      </c>
      <c r="N679" t="s">
        <v>18</v>
      </c>
      <c r="O679" s="7">
        <v>8270</v>
      </c>
      <c r="P679">
        <v>18.3</v>
      </c>
      <c r="Q679" s="7">
        <v>5</v>
      </c>
      <c r="R679" s="7" t="str">
        <f>IF(AllDataApr[[#This Row],[Nitrate (PPM)]]&gt;2, "Very high", IF(AllDataApr[[#This Row],[Nitrate (PPM)]]&gt;1, "High", IF(AllDataApr[[#This Row],[Nitrate (PPM)]]&gt;0.5, "Some evidence", IF(AllDataApr[[#This Row],[Nitrate (PPM)]]&gt;0, "No evidence", IF(AllDataApr[[#This Row],[Nitrate (PPM)]]=0, "")))))</f>
        <v>Very high</v>
      </c>
      <c r="S679" s="7">
        <v>0.76</v>
      </c>
      <c r="T679" s="7" t="str">
        <f>IF(AllDataApr[[#This Row],[Phosphate (PPM)]]&gt;0.5, "Very high", IF(AllDataApr[[#This Row],[Phosphate (PPM)]]&gt;0.1, "High", IF(AllDataApr[[#This Row],[Phosphate (PPM)]]&gt;0.05, "Some evidence", IF(AllDataApr[[#This Row],[Phosphate (PPM)]]=0, ""))))</f>
        <v>Very high</v>
      </c>
      <c r="U679">
        <v>0</v>
      </c>
    </row>
    <row r="680" spans="1:22" x14ac:dyDescent="0.3">
      <c r="A680" t="s">
        <v>1181</v>
      </c>
      <c r="B680" s="2">
        <v>45421</v>
      </c>
      <c r="C680" s="2" t="str" cm="1">
        <f t="array" ref="C68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80">
        <f>YEAR(AllDataApr[[#This Row],[Date]])</f>
        <v>2024</v>
      </c>
      <c r="E680" s="1">
        <v>0.3923611111111111</v>
      </c>
      <c r="F680" s="2" t="str">
        <f>IF(AND(AllDataApr[[#This Row],[Time]]&lt;0.5, AllDataApr[[#This Row],[Time]]&gt;0.17)=TRUE, "Morning", IF(AND(AllDataApr[[#This Row],[Time]]&lt;0.75, AllDataApr[[#This Row],[Time]]&gt;=0.5)=TRUE, "Afternoon", IF(AND(AllDataApr[[#This Row],[Time]]&lt;1, AllDataApr[[#This Row],[Time]]&gt;=0.75)=TRUE, "Evening", "Night")))</f>
        <v>Morning</v>
      </c>
      <c r="G680" t="s">
        <v>46</v>
      </c>
      <c r="H680" t="str">
        <f>_xlfn.XLOOKUP(AllDataApr[[#This Row],[Location Name]], Locations[Row Labels],Locations[Group As])</f>
        <v>Swilgate</v>
      </c>
      <c r="I680" t="str">
        <f>_xlfn.XLOOKUP(AllDataApr[[#This Row],[Site Name]],LocationsKey[Site Name],LocationsKey[Region])</f>
        <v>Tewkesbury</v>
      </c>
      <c r="J680" t="str">
        <f>_xlfn.XLOOKUP(AllDataApr[[#This Row],[Site Name]],LocationsKey[Site Name], LocationsKey[Waterway])</f>
        <v>Swilgate</v>
      </c>
      <c r="K680" t="s">
        <v>47</v>
      </c>
      <c r="N680" t="s">
        <v>14</v>
      </c>
      <c r="O680" s="7">
        <v>831</v>
      </c>
      <c r="P680">
        <v>15.6</v>
      </c>
      <c r="Q680" s="7">
        <v>3</v>
      </c>
      <c r="R680" s="7" t="str">
        <f>IF(AllDataApr[[#This Row],[Nitrate (PPM)]]&gt;2, "Very high", IF(AllDataApr[[#This Row],[Nitrate (PPM)]]&gt;1, "High", IF(AllDataApr[[#This Row],[Nitrate (PPM)]]&gt;0.5, "Some evidence", IF(AllDataApr[[#This Row],[Nitrate (PPM)]]&gt;0, "No evidence", IF(AllDataApr[[#This Row],[Nitrate (PPM)]]=0, "")))))</f>
        <v>Very high</v>
      </c>
      <c r="S680" s="7">
        <v>0.45</v>
      </c>
      <c r="T680" s="7" t="str">
        <f>IF(AllDataApr[[#This Row],[Phosphate (PPM)]]&gt;0.5, "Very high", IF(AllDataApr[[#This Row],[Phosphate (PPM)]]&gt;0.1, "High", IF(AllDataApr[[#This Row],[Phosphate (PPM)]]&gt;0.05, "Some evidence", IF(AllDataApr[[#This Row],[Phosphate (PPM)]]=0, ""))))</f>
        <v>High</v>
      </c>
      <c r="U680">
        <v>0</v>
      </c>
    </row>
    <row r="681" spans="1:22" x14ac:dyDescent="0.3">
      <c r="A681" t="s">
        <v>1159</v>
      </c>
      <c r="B681" s="2">
        <v>45421</v>
      </c>
      <c r="C681" s="2" t="str" cm="1">
        <f t="array" ref="C68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81">
        <f>YEAR(AllDataApr[[#This Row],[Date]])</f>
        <v>2024</v>
      </c>
      <c r="E681" s="1">
        <v>0.45833333333333331</v>
      </c>
      <c r="F681" s="2" t="str">
        <f>IF(AND(AllDataApr[[#This Row],[Time]]&lt;0.5, AllDataApr[[#This Row],[Time]]&gt;0.17)=TRUE, "Morning", IF(AND(AllDataApr[[#This Row],[Time]]&lt;0.75, AllDataApr[[#This Row],[Time]]&gt;=0.5)=TRUE, "Afternoon", IF(AND(AllDataApr[[#This Row],[Time]]&lt;1, AllDataApr[[#This Row],[Time]]&gt;=0.75)=TRUE, "Evening", "Night")))</f>
        <v>Morning</v>
      </c>
      <c r="G681" t="s">
        <v>220</v>
      </c>
      <c r="H681" t="str">
        <f>_xlfn.XLOOKUP(AllDataApr[[#This Row],[Location Name]], Locations[Row Labels],Locations[Group As])</f>
        <v>Stour Willington</v>
      </c>
      <c r="I681" t="str">
        <f>_xlfn.XLOOKUP(AllDataApr[[#This Row],[Site Name]],LocationsKey[Site Name],LocationsKey[Region])</f>
        <v>Shipston</v>
      </c>
      <c r="J681" t="str">
        <f>_xlfn.XLOOKUP(AllDataApr[[#This Row],[Site Name]],LocationsKey[Site Name], LocationsKey[Waterway])</f>
        <v>Stour</v>
      </c>
      <c r="K681" t="s">
        <v>197</v>
      </c>
      <c r="L681">
        <v>52.053550999999999</v>
      </c>
      <c r="M681">
        <v>-1.620144</v>
      </c>
      <c r="N681" t="s">
        <v>14</v>
      </c>
      <c r="O681" s="7">
        <v>646</v>
      </c>
      <c r="P681">
        <v>16.100000000000001</v>
      </c>
      <c r="Q681" s="7">
        <v>5</v>
      </c>
      <c r="R681" s="7" t="str">
        <f>IF(AllDataApr[[#This Row],[Nitrate (PPM)]]&gt;2, "Very high", IF(AllDataApr[[#This Row],[Nitrate (PPM)]]&gt;1, "High", IF(AllDataApr[[#This Row],[Nitrate (PPM)]]&gt;0.5, "Some evidence", IF(AllDataApr[[#This Row],[Nitrate (PPM)]]&gt;0, "No evidence", IF(AllDataApr[[#This Row],[Nitrate (PPM)]]=0, "")))))</f>
        <v>Very high</v>
      </c>
      <c r="S681" s="7">
        <v>0.22</v>
      </c>
      <c r="T681" s="7" t="str">
        <f>IF(AllDataApr[[#This Row],[Phosphate (PPM)]]&gt;0.5, "Very high", IF(AllDataApr[[#This Row],[Phosphate (PPM)]]&gt;0.1, "High", IF(AllDataApr[[#This Row],[Phosphate (PPM)]]&gt;0.05, "Some evidence", IF(AllDataApr[[#This Row],[Phosphate (PPM)]]=0, ""))))</f>
        <v>High</v>
      </c>
      <c r="U681">
        <v>0.5</v>
      </c>
    </row>
    <row r="682" spans="1:22" x14ac:dyDescent="0.3">
      <c r="A682" t="s">
        <v>1183</v>
      </c>
      <c r="B682" s="2">
        <v>45421</v>
      </c>
      <c r="C682" s="2" t="str" cm="1">
        <f t="array" ref="C68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82">
        <f>YEAR(AllDataApr[[#This Row],[Date]])</f>
        <v>2024</v>
      </c>
      <c r="E682" s="1">
        <v>0.74652777777777779</v>
      </c>
      <c r="F682" s="2" t="str">
        <f>IF(AND(AllDataApr[[#This Row],[Time]]&lt;0.5, AllDataApr[[#This Row],[Time]]&gt;0.17)=TRUE, "Morning", IF(AND(AllDataApr[[#This Row],[Time]]&lt;0.75, AllDataApr[[#This Row],[Time]]&gt;=0.5)=TRUE, "Afternoon", IF(AND(AllDataApr[[#This Row],[Time]]&lt;1, AllDataApr[[#This Row],[Time]]&gt;=0.75)=TRUE, "Evening", "Night")))</f>
        <v>Afternoon</v>
      </c>
      <c r="G682" t="s">
        <v>59</v>
      </c>
      <c r="H682" t="str">
        <f>_xlfn.XLOOKUP(AllDataApr[[#This Row],[Location Name]], Locations[Row Labels],Locations[Group As])</f>
        <v>Preston-on-Stour River Bridge</v>
      </c>
      <c r="I682" t="str">
        <f>_xlfn.XLOOKUP(AllDataApr[[#This Row],[Site Name]],LocationsKey[Site Name],LocationsKey[Region])</f>
        <v>Stratford</v>
      </c>
      <c r="J682" t="str">
        <f>_xlfn.XLOOKUP(AllDataApr[[#This Row],[Site Name]],LocationsKey[Site Name], LocationsKey[Waterway])</f>
        <v>Stour</v>
      </c>
      <c r="K682" t="s">
        <v>78</v>
      </c>
      <c r="L682">
        <v>52.146469000000003</v>
      </c>
      <c r="M682">
        <v>-1.699776</v>
      </c>
      <c r="N682" t="s">
        <v>18</v>
      </c>
      <c r="O682" s="7">
        <v>706</v>
      </c>
      <c r="P682">
        <v>15.6</v>
      </c>
      <c r="Q682" s="7">
        <v>4</v>
      </c>
      <c r="R682" s="7" t="str">
        <f>IF(AllDataApr[[#This Row],[Nitrate (PPM)]]&gt;2, "Very high", IF(AllDataApr[[#This Row],[Nitrate (PPM)]]&gt;1, "High", IF(AllDataApr[[#This Row],[Nitrate (PPM)]]&gt;0.5, "Some evidence", IF(AllDataApr[[#This Row],[Nitrate (PPM)]]&gt;0, "No evidence", IF(AllDataApr[[#This Row],[Nitrate (PPM)]]=0, "")))))</f>
        <v>Very high</v>
      </c>
      <c r="S682" s="7">
        <v>0.34</v>
      </c>
      <c r="T682" s="7" t="str">
        <f>IF(AllDataApr[[#This Row],[Phosphate (PPM)]]&gt;0.5, "Very high", IF(AllDataApr[[#This Row],[Phosphate (PPM)]]&gt;0.1, "High", IF(AllDataApr[[#This Row],[Phosphate (PPM)]]&gt;0.05, "Some evidence", IF(AllDataApr[[#This Row],[Phosphate (PPM)]]=0, ""))))</f>
        <v>High</v>
      </c>
      <c r="U682">
        <v>1.5</v>
      </c>
      <c r="V682" t="s">
        <v>1291</v>
      </c>
    </row>
    <row r="683" spans="1:22" x14ac:dyDescent="0.3">
      <c r="A683" t="s">
        <v>1182</v>
      </c>
      <c r="B683" s="2">
        <v>45422</v>
      </c>
      <c r="C683" s="2" t="str" cm="1">
        <f t="array" ref="C68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83">
        <f>YEAR(AllDataApr[[#This Row],[Date]])</f>
        <v>2024</v>
      </c>
      <c r="E683" s="1">
        <v>0.34930555555555554</v>
      </c>
      <c r="F683" s="2" t="str">
        <f>IF(AND(AllDataApr[[#This Row],[Time]]&lt;0.5, AllDataApr[[#This Row],[Time]]&gt;0.17)=TRUE, "Morning", IF(AND(AllDataApr[[#This Row],[Time]]&lt;0.75, AllDataApr[[#This Row],[Time]]&gt;=0.5)=TRUE, "Afternoon", IF(AND(AllDataApr[[#This Row],[Time]]&lt;1, AllDataApr[[#This Row],[Time]]&gt;=0.75)=TRUE, "Evening", "Night")))</f>
        <v>Morning</v>
      </c>
      <c r="G683" t="s">
        <v>221</v>
      </c>
      <c r="H683" t="str">
        <f>_xlfn.XLOOKUP(AllDataApr[[#This Row],[Location Name]], Locations[Row Labels],Locations[Group As])</f>
        <v>Lower Lode</v>
      </c>
      <c r="I683" t="str">
        <f>_xlfn.XLOOKUP(AllDataApr[[#This Row],[Site Name]],LocationsKey[Site Name],LocationsKey[Region])</f>
        <v>Tewkesbury</v>
      </c>
      <c r="J683" t="str">
        <f>_xlfn.XLOOKUP(AllDataApr[[#This Row],[Site Name]],LocationsKey[Site Name], LocationsKey[Waterway])</f>
        <v>Avon</v>
      </c>
      <c r="K683" t="s">
        <v>234</v>
      </c>
      <c r="L683">
        <v>51.985084999999998</v>
      </c>
      <c r="M683">
        <v>-2.1741959999999998</v>
      </c>
      <c r="N683" t="s">
        <v>18</v>
      </c>
      <c r="O683" s="7">
        <v>8750</v>
      </c>
      <c r="P683">
        <v>17.7</v>
      </c>
      <c r="Q683" s="7">
        <v>10</v>
      </c>
      <c r="R683" s="7" t="str">
        <f>IF(AllDataApr[[#This Row],[Nitrate (PPM)]]&gt;2, "Very high", IF(AllDataApr[[#This Row],[Nitrate (PPM)]]&gt;1, "High", IF(AllDataApr[[#This Row],[Nitrate (PPM)]]&gt;0.5, "Some evidence", IF(AllDataApr[[#This Row],[Nitrate (PPM)]]&gt;0, "No evidence", IF(AllDataApr[[#This Row],[Nitrate (PPM)]]=0, "")))))</f>
        <v>Very high</v>
      </c>
      <c r="S683" s="7">
        <v>0.32</v>
      </c>
      <c r="T683" s="7" t="str">
        <f>IF(AllDataApr[[#This Row],[Phosphate (PPM)]]&gt;0.5, "Very high", IF(AllDataApr[[#This Row],[Phosphate (PPM)]]&gt;0.1, "High", IF(AllDataApr[[#This Row],[Phosphate (PPM)]]&gt;0.05, "Some evidence", IF(AllDataApr[[#This Row],[Phosphate (PPM)]]=0, ""))))</f>
        <v>High</v>
      </c>
      <c r="U683">
        <v>1</v>
      </c>
    </row>
    <row r="684" spans="1:22" x14ac:dyDescent="0.3">
      <c r="A684" t="s">
        <v>1161</v>
      </c>
      <c r="B684" s="2">
        <v>45423</v>
      </c>
      <c r="C684" s="2" t="str" cm="1">
        <f t="array" ref="C68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84">
        <f>YEAR(AllDataApr[[#This Row],[Date]])</f>
        <v>2024</v>
      </c>
      <c r="E684" s="1">
        <v>0.4513888888888889</v>
      </c>
      <c r="F684" s="2" t="str">
        <f>IF(AND(AllDataApr[[#This Row],[Time]]&lt;0.5, AllDataApr[[#This Row],[Time]]&gt;0.17)=TRUE, "Morning", IF(AND(AllDataApr[[#This Row],[Time]]&lt;0.75, AllDataApr[[#This Row],[Time]]&gt;=0.5)=TRUE, "Afternoon", IF(AND(AllDataApr[[#This Row],[Time]]&lt;1, AllDataApr[[#This Row],[Time]]&gt;=0.75)=TRUE, "Evening", "Night")))</f>
        <v>Morning</v>
      </c>
      <c r="G684" t="s">
        <v>1260</v>
      </c>
      <c r="H684" t="str">
        <f>_xlfn.XLOOKUP(AllDataApr[[#This Row],[Location Name]], Locations[Row Labels],Locations[Group As])</f>
        <v>Avon Smiths Meadow Wyre Piddle</v>
      </c>
      <c r="I684" t="str">
        <f>_xlfn.XLOOKUP(AllDataApr[[#This Row],[Site Name]],LocationsKey[Site Name],LocationsKey[Region])</f>
        <v>Pershore</v>
      </c>
      <c r="J684" t="str">
        <f>_xlfn.XLOOKUP(AllDataApr[[#This Row],[Site Name]],LocationsKey[Site Name], LocationsKey[Waterway])</f>
        <v>Avon</v>
      </c>
      <c r="K684" t="s">
        <v>909</v>
      </c>
      <c r="L684">
        <v>52.122858999999998</v>
      </c>
      <c r="M684">
        <v>-2.0575389999999998</v>
      </c>
      <c r="N684" t="s">
        <v>14</v>
      </c>
      <c r="O684" s="7">
        <v>886</v>
      </c>
      <c r="P684">
        <v>17.899999999999999</v>
      </c>
      <c r="Q684" s="7">
        <v>10</v>
      </c>
      <c r="R684" s="7" t="str">
        <f>IF(AllDataApr[[#This Row],[Nitrate (PPM)]]&gt;2, "Very high", IF(AllDataApr[[#This Row],[Nitrate (PPM)]]&gt;1, "High", IF(AllDataApr[[#This Row],[Nitrate (PPM)]]&gt;0.5, "Some evidence", IF(AllDataApr[[#This Row],[Nitrate (PPM)]]&gt;0, "No evidence", IF(AllDataApr[[#This Row],[Nitrate (PPM)]]=0, "")))))</f>
        <v>Very high</v>
      </c>
      <c r="S684" s="7">
        <v>0.68</v>
      </c>
      <c r="T684" s="7" t="str">
        <f>IF(AllDataApr[[#This Row],[Phosphate (PPM)]]&gt;0.5, "Very high", IF(AllDataApr[[#This Row],[Phosphate (PPM)]]&gt;0.1, "High", IF(AllDataApr[[#This Row],[Phosphate (PPM)]]&gt;0.05, "Some evidence", IF(AllDataApr[[#This Row],[Phosphate (PPM)]]=0, ""))))</f>
        <v>Very high</v>
      </c>
      <c r="U684">
        <v>0.63</v>
      </c>
      <c r="V684" t="s">
        <v>1288</v>
      </c>
    </row>
    <row r="685" spans="1:22" x14ac:dyDescent="0.3">
      <c r="A685" t="s">
        <v>1160</v>
      </c>
      <c r="B685" s="2">
        <v>45423</v>
      </c>
      <c r="C685" s="2" t="str" cm="1">
        <f t="array" ref="C68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85">
        <f>YEAR(AllDataApr[[#This Row],[Date]])</f>
        <v>2024</v>
      </c>
      <c r="E685" s="1">
        <v>0.47916666666666669</v>
      </c>
      <c r="F685" s="2" t="str">
        <f>IF(AND(AllDataApr[[#This Row],[Time]]&lt;0.5, AllDataApr[[#This Row],[Time]]&gt;0.17)=TRUE, "Morning", IF(AND(AllDataApr[[#This Row],[Time]]&lt;0.75, AllDataApr[[#This Row],[Time]]&gt;=0.5)=TRUE, "Afternoon", IF(AND(AllDataApr[[#This Row],[Time]]&lt;1, AllDataApr[[#This Row],[Time]]&gt;=0.75)=TRUE, "Evening", "Night")))</f>
        <v>Morning</v>
      </c>
      <c r="G685" t="s">
        <v>1260</v>
      </c>
      <c r="H685" t="str">
        <f>_xlfn.XLOOKUP(AllDataApr[[#This Row],[Location Name]], Locations[Row Labels],Locations[Group As])</f>
        <v>Piddle Brook Wyre Piddle Bridge</v>
      </c>
      <c r="I685" t="str">
        <f>_xlfn.XLOOKUP(AllDataApr[[#This Row],[Site Name]],LocationsKey[Site Name],LocationsKey[Region])</f>
        <v>Pershore</v>
      </c>
      <c r="J685" t="str">
        <f>_xlfn.XLOOKUP(AllDataApr[[#This Row],[Site Name]],LocationsKey[Site Name], LocationsKey[Waterway])</f>
        <v>Piddle Brook</v>
      </c>
      <c r="K685" t="s">
        <v>908</v>
      </c>
      <c r="L685">
        <v>52.126404000000001</v>
      </c>
      <c r="M685">
        <v>-2.0565410000000002</v>
      </c>
      <c r="N685" t="s">
        <v>14</v>
      </c>
      <c r="O685" s="7">
        <v>1290</v>
      </c>
      <c r="P685">
        <v>15.8</v>
      </c>
      <c r="Q685" s="7">
        <v>7</v>
      </c>
      <c r="R685" s="7" t="str">
        <f>IF(AllDataApr[[#This Row],[Nitrate (PPM)]]&gt;2, "Very high", IF(AllDataApr[[#This Row],[Nitrate (PPM)]]&gt;1, "High", IF(AllDataApr[[#This Row],[Nitrate (PPM)]]&gt;0.5, "Some evidence", IF(AllDataApr[[#This Row],[Nitrate (PPM)]]&gt;0, "No evidence", IF(AllDataApr[[#This Row],[Nitrate (PPM)]]=0, "")))))</f>
        <v>Very high</v>
      </c>
      <c r="S685" s="7">
        <v>0.8</v>
      </c>
      <c r="T685" s="7" t="str">
        <f>IF(AllDataApr[[#This Row],[Phosphate (PPM)]]&gt;0.5, "Very high", IF(AllDataApr[[#This Row],[Phosphate (PPM)]]&gt;0.1, "High", IF(AllDataApr[[#This Row],[Phosphate (PPM)]]&gt;0.05, "Some evidence", IF(AllDataApr[[#This Row],[Phosphate (PPM)]]=0, ""))))</f>
        <v>Very high</v>
      </c>
      <c r="U685">
        <v>0.22</v>
      </c>
      <c r="V685" t="s">
        <v>1287</v>
      </c>
    </row>
    <row r="686" spans="1:22" x14ac:dyDescent="0.3">
      <c r="A686" t="s">
        <v>1180</v>
      </c>
      <c r="B686" s="2">
        <v>45423</v>
      </c>
      <c r="C686" s="2" t="str" cm="1">
        <f t="array" ref="C68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86">
        <f>YEAR(AllDataApr[[#This Row],[Date]])</f>
        <v>2024</v>
      </c>
      <c r="E686" s="1">
        <v>0.86458333333333337</v>
      </c>
      <c r="F686" s="2" t="str">
        <f>IF(AND(AllDataApr[[#This Row],[Time]]&lt;0.5, AllDataApr[[#This Row],[Time]]&gt;0.17)=TRUE, "Morning", IF(AND(AllDataApr[[#This Row],[Time]]&lt;0.75, AllDataApr[[#This Row],[Time]]&gt;=0.5)=TRUE, "Afternoon", IF(AND(AllDataApr[[#This Row],[Time]]&lt;1, AllDataApr[[#This Row],[Time]]&gt;=0.75)=TRUE, "Evening", "Night")))</f>
        <v>Evening</v>
      </c>
      <c r="G686" t="s">
        <v>900</v>
      </c>
      <c r="H686" t="str">
        <f>_xlfn.XLOOKUP(AllDataApr[[#This Row],[Location Name]], Locations[Row Labels],Locations[Group As])</f>
        <v>Fell Mill Footbridge</v>
      </c>
      <c r="I686" t="str">
        <f>_xlfn.XLOOKUP(AllDataApr[[#This Row],[Site Name]],LocationsKey[Site Name],LocationsKey[Region])</f>
        <v>Shipston</v>
      </c>
      <c r="J686" t="str">
        <f>_xlfn.XLOOKUP(AllDataApr[[#This Row],[Site Name]],LocationsKey[Site Name], LocationsKey[Waterway])</f>
        <v>Stour</v>
      </c>
      <c r="K686" t="s">
        <v>910</v>
      </c>
      <c r="L686">
        <v>52.070086000000003</v>
      </c>
      <c r="M686">
        <v>-1.61145</v>
      </c>
      <c r="N686" t="s">
        <v>18</v>
      </c>
      <c r="O686" s="7">
        <v>675</v>
      </c>
      <c r="P686">
        <v>16</v>
      </c>
      <c r="Q686" s="7">
        <v>5</v>
      </c>
      <c r="R686" s="7" t="str">
        <f>IF(AllDataApr[[#This Row],[Nitrate (PPM)]]&gt;2, "Very high", IF(AllDataApr[[#This Row],[Nitrate (PPM)]]&gt;1, "High", IF(AllDataApr[[#This Row],[Nitrate (PPM)]]&gt;0.5, "Some evidence", IF(AllDataApr[[#This Row],[Nitrate (PPM)]]&gt;0, "No evidence", IF(AllDataApr[[#This Row],[Nitrate (PPM)]]=0, "")))))</f>
        <v>Very high</v>
      </c>
      <c r="S686" s="7">
        <v>0.24</v>
      </c>
      <c r="T686" s="7" t="str">
        <f>IF(AllDataApr[[#This Row],[Phosphate (PPM)]]&gt;0.5, "Very high", IF(AllDataApr[[#This Row],[Phosphate (PPM)]]&gt;0.1, "High", IF(AllDataApr[[#This Row],[Phosphate (PPM)]]&gt;0.05, "Some evidence", IF(AllDataApr[[#This Row],[Phosphate (PPM)]]=0, ""))))</f>
        <v>High</v>
      </c>
      <c r="U686">
        <v>1.3</v>
      </c>
      <c r="V686" t="s">
        <v>1290</v>
      </c>
    </row>
    <row r="687" spans="1:22" x14ac:dyDescent="0.3">
      <c r="A687" t="s">
        <v>1178</v>
      </c>
      <c r="B687" s="2">
        <v>45424</v>
      </c>
      <c r="C687" s="2" t="str" cm="1">
        <f t="array" ref="C68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87">
        <f>YEAR(AllDataApr[[#This Row],[Date]])</f>
        <v>2024</v>
      </c>
      <c r="E687" s="1">
        <v>0.47916666666666669</v>
      </c>
      <c r="F687" s="2" t="str">
        <f>IF(AND(AllDataApr[[#This Row],[Time]]&lt;0.5, AllDataApr[[#This Row],[Time]]&gt;0.17)=TRUE, "Morning", IF(AND(AllDataApr[[#This Row],[Time]]&lt;0.75, AllDataApr[[#This Row],[Time]]&gt;=0.5)=TRUE, "Afternoon", IF(AND(AllDataApr[[#This Row],[Time]]&lt;1, AllDataApr[[#This Row],[Time]]&gt;=0.75)=TRUE, "Evening", "Night")))</f>
        <v>Morning</v>
      </c>
      <c r="G687" t="s">
        <v>52</v>
      </c>
      <c r="H687" t="str">
        <f>_xlfn.XLOOKUP(AllDataApr[[#This Row],[Location Name]], Locations[Row Labels],Locations[Group As])</f>
        <v>Carrant Bredon Rd</v>
      </c>
      <c r="I687" t="str">
        <f>_xlfn.XLOOKUP(AllDataApr[[#This Row],[Site Name]],LocationsKey[Site Name],LocationsKey[Region])</f>
        <v>Tewkesbury</v>
      </c>
      <c r="J687" t="str">
        <f>_xlfn.XLOOKUP(AllDataApr[[#This Row],[Site Name]],LocationsKey[Site Name], LocationsKey[Waterway])</f>
        <v>Carrant</v>
      </c>
      <c r="K687" t="s">
        <v>179</v>
      </c>
      <c r="L687">
        <v>51.996214000000002</v>
      </c>
      <c r="M687">
        <v>-2.156126</v>
      </c>
      <c r="N687" t="s">
        <v>200</v>
      </c>
      <c r="O687" s="7">
        <v>772</v>
      </c>
      <c r="P687">
        <v>16.600000000000001</v>
      </c>
      <c r="Q687" s="7">
        <v>8</v>
      </c>
      <c r="R687" s="7" t="str">
        <f>IF(AllDataApr[[#This Row],[Nitrate (PPM)]]&gt;2, "Very high", IF(AllDataApr[[#This Row],[Nitrate (PPM)]]&gt;1, "High", IF(AllDataApr[[#This Row],[Nitrate (PPM)]]&gt;0.5, "Some evidence", IF(AllDataApr[[#This Row],[Nitrate (PPM)]]&gt;0, "No evidence", IF(AllDataApr[[#This Row],[Nitrate (PPM)]]=0, "")))))</f>
        <v>Very high</v>
      </c>
      <c r="S687" s="7">
        <v>0.32</v>
      </c>
      <c r="T687" s="7" t="str">
        <f>IF(AllDataApr[[#This Row],[Phosphate (PPM)]]&gt;0.5, "Very high", IF(AllDataApr[[#This Row],[Phosphate (PPM)]]&gt;0.1, "High", IF(AllDataApr[[#This Row],[Phosphate (PPM)]]&gt;0.05, "Some evidence", IF(AllDataApr[[#This Row],[Phosphate (PPM)]]=0, ""))))</f>
        <v>High</v>
      </c>
      <c r="U687">
        <v>0.1</v>
      </c>
    </row>
    <row r="688" spans="1:22" x14ac:dyDescent="0.3">
      <c r="A688" t="s">
        <v>1139</v>
      </c>
      <c r="B688" s="2">
        <v>45424</v>
      </c>
      <c r="C688" s="2" t="str" cm="1">
        <f t="array" ref="C68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88">
        <f>YEAR(AllDataApr[[#This Row],[Date]])</f>
        <v>2024</v>
      </c>
      <c r="E688" s="1">
        <v>0.58333333333333337</v>
      </c>
      <c r="F688" s="2" t="str">
        <f>IF(AND(AllDataApr[[#This Row],[Time]]&lt;0.5, AllDataApr[[#This Row],[Time]]&gt;0.17)=TRUE, "Morning", IF(AND(AllDataApr[[#This Row],[Time]]&lt;0.75, AllDataApr[[#This Row],[Time]]&gt;=0.5)=TRUE, "Afternoon", IF(AND(AllDataApr[[#This Row],[Time]]&lt;1, AllDataApr[[#This Row],[Time]]&gt;=0.75)=TRUE, "Evening", "Night")))</f>
        <v>Afternoon</v>
      </c>
      <c r="G688" t="s">
        <v>112</v>
      </c>
      <c r="H688" t="str">
        <f>_xlfn.XLOOKUP(AllDataApr[[#This Row],[Location Name]], Locations[Row Labels],Locations[Group As])</f>
        <v>Clifford Chambers Mill Bridge</v>
      </c>
      <c r="I688" t="str">
        <f>_xlfn.XLOOKUP(AllDataApr[[#This Row],[Site Name]],LocationsKey[Site Name],LocationsKey[Region])</f>
        <v>Stratford</v>
      </c>
      <c r="J688" t="str">
        <f>_xlfn.XLOOKUP(AllDataApr[[#This Row],[Site Name]],LocationsKey[Site Name], LocationsKey[Waterway])</f>
        <v>Stour</v>
      </c>
      <c r="K688" t="s">
        <v>119</v>
      </c>
      <c r="L688">
        <v>52.166370000000001</v>
      </c>
      <c r="M688">
        <v>-1.708032</v>
      </c>
      <c r="N688" t="s">
        <v>42</v>
      </c>
      <c r="O688" s="7">
        <v>699</v>
      </c>
      <c r="P688">
        <v>20.3</v>
      </c>
      <c r="Q688" s="7">
        <v>8</v>
      </c>
      <c r="R688" s="7" t="str">
        <f>IF(AllDataApr[[#This Row],[Nitrate (PPM)]]&gt;2, "Very high", IF(AllDataApr[[#This Row],[Nitrate (PPM)]]&gt;1, "High", IF(AllDataApr[[#This Row],[Nitrate (PPM)]]&gt;0.5, "Some evidence", IF(AllDataApr[[#This Row],[Nitrate (PPM)]]&gt;0, "No evidence", IF(AllDataApr[[#This Row],[Nitrate (PPM)]]=0, "")))))</f>
        <v>Very high</v>
      </c>
      <c r="S688" s="7">
        <v>0.24</v>
      </c>
      <c r="T688" s="7" t="str">
        <f>IF(AllDataApr[[#This Row],[Phosphate (PPM)]]&gt;0.5, "Very high", IF(AllDataApr[[#This Row],[Phosphate (PPM)]]&gt;0.1, "High", IF(AllDataApr[[#This Row],[Phosphate (PPM)]]&gt;0.05, "Some evidence", IF(AllDataApr[[#This Row],[Phosphate (PPM)]]=0, ""))))</f>
        <v>High</v>
      </c>
      <c r="U688">
        <v>0.6</v>
      </c>
    </row>
    <row r="689" spans="1:22" x14ac:dyDescent="0.3">
      <c r="A689" t="s">
        <v>1179</v>
      </c>
      <c r="B689" s="2">
        <v>45424</v>
      </c>
      <c r="C689" s="2" t="str" cm="1">
        <f t="array" ref="C68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89">
        <f>YEAR(AllDataApr[[#This Row],[Date]])</f>
        <v>2024</v>
      </c>
      <c r="E689" s="1">
        <v>0.69027777777777777</v>
      </c>
      <c r="F689" s="2" t="str">
        <f>IF(AND(AllDataApr[[#This Row],[Time]]&lt;0.5, AllDataApr[[#This Row],[Time]]&gt;0.17)=TRUE, "Morning", IF(AND(AllDataApr[[#This Row],[Time]]&lt;0.75, AllDataApr[[#This Row],[Time]]&gt;=0.5)=TRUE, "Afternoon", IF(AND(AllDataApr[[#This Row],[Time]]&lt;1, AllDataApr[[#This Row],[Time]]&gt;=0.75)=TRUE, "Evening", "Night")))</f>
        <v>Afternoon</v>
      </c>
      <c r="G689" t="s">
        <v>11</v>
      </c>
      <c r="H689" t="str">
        <f>_xlfn.XLOOKUP(AllDataApr[[#This Row],[Location Name]], Locations[Row Labels],Locations[Group As])</f>
        <v>Black Bear</v>
      </c>
      <c r="I689" t="str">
        <f>_xlfn.XLOOKUP(AllDataApr[[#This Row],[Site Name]],LocationsKey[Site Name],LocationsKey[Region])</f>
        <v>Tewkesbury</v>
      </c>
      <c r="J689" t="str">
        <f>_xlfn.XLOOKUP(AllDataApr[[#This Row],[Site Name]],LocationsKey[Site Name], LocationsKey[Waterway])</f>
        <v>Avon</v>
      </c>
      <c r="K689" t="s">
        <v>231</v>
      </c>
      <c r="L689">
        <v>51.997379000000002</v>
      </c>
      <c r="M689">
        <v>-2.1561949999999999</v>
      </c>
      <c r="N689" t="s">
        <v>14</v>
      </c>
      <c r="O689" s="7">
        <v>844</v>
      </c>
      <c r="P689">
        <v>20.7</v>
      </c>
      <c r="Q689" s="7">
        <v>10</v>
      </c>
      <c r="R689" s="7" t="str">
        <f>IF(AllDataApr[[#This Row],[Nitrate (PPM)]]&gt;2, "Very high", IF(AllDataApr[[#This Row],[Nitrate (PPM)]]&gt;1, "High", IF(AllDataApr[[#This Row],[Nitrate (PPM)]]&gt;0.5, "Some evidence", IF(AllDataApr[[#This Row],[Nitrate (PPM)]]&gt;0, "No evidence", IF(AllDataApr[[#This Row],[Nitrate (PPM)]]=0, "")))))</f>
        <v>Very high</v>
      </c>
      <c r="S689" s="7">
        <v>0.32</v>
      </c>
      <c r="T689" s="7" t="str">
        <f>IF(AllDataApr[[#This Row],[Phosphate (PPM)]]&gt;0.5, "Very high", IF(AllDataApr[[#This Row],[Phosphate (PPM)]]&gt;0.1, "High", IF(AllDataApr[[#This Row],[Phosphate (PPM)]]&gt;0.05, "Some evidence", IF(AllDataApr[[#This Row],[Phosphate (PPM)]]=0, ""))))</f>
        <v>High</v>
      </c>
      <c r="U689">
        <v>0</v>
      </c>
    </row>
    <row r="690" spans="1:22" x14ac:dyDescent="0.3">
      <c r="A690" t="s">
        <v>1177</v>
      </c>
      <c r="B690" s="2">
        <v>45425</v>
      </c>
      <c r="C690" s="2" t="str" cm="1">
        <f t="array" ref="C69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90">
        <f>YEAR(AllDataApr[[#This Row],[Date]])</f>
        <v>2024</v>
      </c>
      <c r="E690" s="1">
        <v>0.39791666666666664</v>
      </c>
      <c r="F690" s="2" t="str">
        <f>IF(AND(AllDataApr[[#This Row],[Time]]&lt;0.5, AllDataApr[[#This Row],[Time]]&gt;0.17)=TRUE, "Morning", IF(AND(AllDataApr[[#This Row],[Time]]&lt;0.75, AllDataApr[[#This Row],[Time]]&gt;=0.5)=TRUE, "Afternoon", IF(AND(AllDataApr[[#This Row],[Time]]&lt;1, AllDataApr[[#This Row],[Time]]&gt;=0.75)=TRUE, "Evening", "Night")))</f>
        <v>Morning</v>
      </c>
      <c r="G690" t="s">
        <v>150</v>
      </c>
      <c r="H690" t="str">
        <f>_xlfn.XLOOKUP(AllDataApr[[#This Row],[Location Name]], Locations[Row Labels],Locations[Group As])</f>
        <v>Stour Stretton-on-Fosse Village</v>
      </c>
      <c r="I690" t="str">
        <f>_xlfn.XLOOKUP(AllDataApr[[#This Row],[Site Name]],LocationsKey[Site Name],LocationsKey[Region])</f>
        <v>Shipston</v>
      </c>
      <c r="J690" t="str">
        <f>_xlfn.XLOOKUP(AllDataApr[[#This Row],[Site Name]],LocationsKey[Site Name], LocationsKey[Waterway])</f>
        <v>Stour</v>
      </c>
      <c r="K690" t="s">
        <v>198</v>
      </c>
      <c r="L690">
        <v>52.046539000000003</v>
      </c>
      <c r="M690">
        <v>-1.673413</v>
      </c>
      <c r="N690" t="s">
        <v>42</v>
      </c>
      <c r="O690" s="7">
        <v>760</v>
      </c>
      <c r="P690">
        <v>14.5</v>
      </c>
      <c r="Q690" s="7">
        <v>2</v>
      </c>
      <c r="R690" s="7" t="str">
        <f>IF(AllDataApr[[#This Row],[Nitrate (PPM)]]&gt;2, "Very high", IF(AllDataApr[[#This Row],[Nitrate (PPM)]]&gt;1, "High", IF(AllDataApr[[#This Row],[Nitrate (PPM)]]&gt;0.5, "Some evidence", IF(AllDataApr[[#This Row],[Nitrate (PPM)]]&gt;0, "No evidence", IF(AllDataApr[[#This Row],[Nitrate (PPM)]]=0, "")))))</f>
        <v>High</v>
      </c>
      <c r="S690" s="7">
        <v>2.5</v>
      </c>
      <c r="T690" s="7" t="str">
        <f>IF(AllDataApr[[#This Row],[Phosphate (PPM)]]&gt;0.5, "Very high", IF(AllDataApr[[#This Row],[Phosphate (PPM)]]&gt;0.1, "High", IF(AllDataApr[[#This Row],[Phosphate (PPM)]]&gt;0.05, "Some evidence", IF(AllDataApr[[#This Row],[Phosphate (PPM)]]=0, ""))))</f>
        <v>Very high</v>
      </c>
      <c r="U690">
        <v>0.2</v>
      </c>
    </row>
    <row r="691" spans="1:22" x14ac:dyDescent="0.3">
      <c r="A691" t="s">
        <v>1176</v>
      </c>
      <c r="B691" s="2">
        <v>45425</v>
      </c>
      <c r="C691" s="2" t="str" cm="1">
        <f t="array" ref="C69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91">
        <f>YEAR(AllDataApr[[#This Row],[Date]])</f>
        <v>2024</v>
      </c>
      <c r="E691" s="1">
        <v>0.40416666666666667</v>
      </c>
      <c r="F691" s="2" t="str">
        <f>IF(AND(AllDataApr[[#This Row],[Time]]&lt;0.5, AllDataApr[[#This Row],[Time]]&gt;0.17)=TRUE, "Morning", IF(AND(AllDataApr[[#This Row],[Time]]&lt;0.75, AllDataApr[[#This Row],[Time]]&gt;=0.5)=TRUE, "Afternoon", IF(AND(AllDataApr[[#This Row],[Time]]&lt;1, AllDataApr[[#This Row],[Time]]&gt;=0.75)=TRUE, "Evening", "Night")))</f>
        <v>Morning</v>
      </c>
      <c r="G691" t="s">
        <v>150</v>
      </c>
      <c r="H691" t="str">
        <f>_xlfn.XLOOKUP(AllDataApr[[#This Row],[Location Name]], Locations[Row Labels],Locations[Group As])</f>
        <v>Stour Stretton-on-Fosse Sewage Works</v>
      </c>
      <c r="I691" t="str">
        <f>_xlfn.XLOOKUP(AllDataApr[[#This Row],[Site Name]],LocationsKey[Site Name],LocationsKey[Region])</f>
        <v>Shipston</v>
      </c>
      <c r="J691" t="str">
        <f>_xlfn.XLOOKUP(AllDataApr[[#This Row],[Site Name]],LocationsKey[Site Name], LocationsKey[Waterway])</f>
        <v>Stour</v>
      </c>
      <c r="K691" t="s">
        <v>151</v>
      </c>
      <c r="L691">
        <v>52.045647000000002</v>
      </c>
      <c r="M691">
        <v>-1.6719360000000001</v>
      </c>
      <c r="N691" t="s">
        <v>18</v>
      </c>
      <c r="O691" s="7">
        <v>850</v>
      </c>
      <c r="P691">
        <v>14.3</v>
      </c>
      <c r="Q691" s="7">
        <v>3</v>
      </c>
      <c r="R691" s="7" t="str">
        <f>IF(AllDataApr[[#This Row],[Nitrate (PPM)]]&gt;2, "Very high", IF(AllDataApr[[#This Row],[Nitrate (PPM)]]&gt;1, "High", IF(AllDataApr[[#This Row],[Nitrate (PPM)]]&gt;0.5, "Some evidence", IF(AllDataApr[[#This Row],[Nitrate (PPM)]]&gt;0, "No evidence", IF(AllDataApr[[#This Row],[Nitrate (PPM)]]=0, "")))))</f>
        <v>Very high</v>
      </c>
      <c r="S691" s="7">
        <v>2.5</v>
      </c>
      <c r="T691" s="7" t="str">
        <f>IF(AllDataApr[[#This Row],[Phosphate (PPM)]]&gt;0.5, "Very high", IF(AllDataApr[[#This Row],[Phosphate (PPM)]]&gt;0.1, "High", IF(AllDataApr[[#This Row],[Phosphate (PPM)]]&gt;0.05, "Some evidence", IF(AllDataApr[[#This Row],[Phosphate (PPM)]]=0, ""))))</f>
        <v>Very high</v>
      </c>
      <c r="U691">
        <v>0.25</v>
      </c>
      <c r="V691" t="s">
        <v>1289</v>
      </c>
    </row>
    <row r="692" spans="1:22" x14ac:dyDescent="0.3">
      <c r="A692" t="s">
        <v>1165</v>
      </c>
      <c r="B692" s="2">
        <v>45425</v>
      </c>
      <c r="C692" s="2" t="str" cm="1">
        <f t="array" ref="C69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92">
        <f>YEAR(AllDataApr[[#This Row],[Date]])</f>
        <v>2024</v>
      </c>
      <c r="E692" s="1">
        <v>0.41666666666666669</v>
      </c>
      <c r="F692" s="2" t="str">
        <f>IF(AND(AllDataApr[[#This Row],[Time]]&lt;0.5, AllDataApr[[#This Row],[Time]]&gt;0.17)=TRUE, "Morning", IF(AND(AllDataApr[[#This Row],[Time]]&lt;0.75, AllDataApr[[#This Row],[Time]]&gt;=0.5)=TRUE, "Afternoon", IF(AND(AllDataApr[[#This Row],[Time]]&lt;1, AllDataApr[[#This Row],[Time]]&gt;=0.75)=TRUE, "Evening", "Night")))</f>
        <v>Morning</v>
      </c>
      <c r="G692" t="s">
        <v>276</v>
      </c>
      <c r="H692" t="str">
        <f>_xlfn.XLOOKUP(AllDataApr[[#This Row],[Location Name]], Locations[Row Labels],Locations[Group As])</f>
        <v>Sherbourne Brook 1</v>
      </c>
      <c r="I692" t="str">
        <f>_xlfn.XLOOKUP(AllDataApr[[#This Row],[Site Name]],LocationsKey[Site Name],LocationsKey[Region])</f>
        <v>Stratford</v>
      </c>
      <c r="J692" t="str">
        <f>_xlfn.XLOOKUP(AllDataApr[[#This Row],[Site Name]],LocationsKey[Site Name], LocationsKey[Waterway])</f>
        <v>Sherbourne Brook</v>
      </c>
      <c r="K692" t="s">
        <v>280</v>
      </c>
      <c r="O692" s="7">
        <v>1070</v>
      </c>
      <c r="P692">
        <v>14.5</v>
      </c>
      <c r="Q692" s="7">
        <v>10</v>
      </c>
      <c r="R692" s="7" t="str">
        <f>IF(AllDataApr[[#This Row],[Nitrate (PPM)]]&gt;2, "Very high", IF(AllDataApr[[#This Row],[Nitrate (PPM)]]&gt;1, "High", IF(AllDataApr[[#This Row],[Nitrate (PPM)]]&gt;0.5, "Some evidence", IF(AllDataApr[[#This Row],[Nitrate (PPM)]]&gt;0, "No evidence", IF(AllDataApr[[#This Row],[Nitrate (PPM)]]=0, "")))))</f>
        <v>Very high</v>
      </c>
      <c r="S692" s="7">
        <v>0.37</v>
      </c>
      <c r="T692" s="7" t="str">
        <f>IF(AllDataApr[[#This Row],[Phosphate (PPM)]]&gt;0.5, "Very high", IF(AllDataApr[[#This Row],[Phosphate (PPM)]]&gt;0.1, "High", IF(AllDataApr[[#This Row],[Phosphate (PPM)]]&gt;0.05, "Some evidence", IF(AllDataApr[[#This Row],[Phosphate (PPM)]]=0, ""))))</f>
        <v>High</v>
      </c>
      <c r="U692">
        <v>0.15</v>
      </c>
    </row>
    <row r="693" spans="1:22" x14ac:dyDescent="0.3">
      <c r="A693" t="s">
        <v>1164</v>
      </c>
      <c r="B693" s="2">
        <v>45425</v>
      </c>
      <c r="C693" s="2" t="str" cm="1">
        <f t="array" ref="C69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93">
        <f>YEAR(AllDataApr[[#This Row],[Date]])</f>
        <v>2024</v>
      </c>
      <c r="E693" s="1">
        <v>0.42708333333333331</v>
      </c>
      <c r="F693" s="2" t="str">
        <f>IF(AND(AllDataApr[[#This Row],[Time]]&lt;0.5, AllDataApr[[#This Row],[Time]]&gt;0.17)=TRUE, "Morning", IF(AND(AllDataApr[[#This Row],[Time]]&lt;0.75, AllDataApr[[#This Row],[Time]]&gt;=0.5)=TRUE, "Afternoon", IF(AND(AllDataApr[[#This Row],[Time]]&lt;1, AllDataApr[[#This Row],[Time]]&gt;=0.75)=TRUE, "Evening", "Night")))</f>
        <v>Morning</v>
      </c>
      <c r="G693" t="s">
        <v>276</v>
      </c>
      <c r="H693" t="str">
        <f>_xlfn.XLOOKUP(AllDataApr[[#This Row],[Location Name]], Locations[Row Labels],Locations[Group As])</f>
        <v>Bell Brook 1</v>
      </c>
      <c r="I693" t="str">
        <f>_xlfn.XLOOKUP(AllDataApr[[#This Row],[Site Name]],LocationsKey[Site Name],LocationsKey[Region])</f>
        <v>Stratford</v>
      </c>
      <c r="J693" t="str">
        <f>_xlfn.XLOOKUP(AllDataApr[[#This Row],[Site Name]],LocationsKey[Site Name], LocationsKey[Waterway])</f>
        <v>Bell Brook</v>
      </c>
      <c r="K693" t="s">
        <v>279</v>
      </c>
      <c r="O693" s="7">
        <v>813</v>
      </c>
      <c r="P693">
        <v>15.6</v>
      </c>
      <c r="Q693" s="7">
        <v>6</v>
      </c>
      <c r="R693" s="7" t="str">
        <f>IF(AllDataApr[[#This Row],[Nitrate (PPM)]]&gt;2, "Very high", IF(AllDataApr[[#This Row],[Nitrate (PPM)]]&gt;1, "High", IF(AllDataApr[[#This Row],[Nitrate (PPM)]]&gt;0.5, "Some evidence", IF(AllDataApr[[#This Row],[Nitrate (PPM)]]&gt;0, "No evidence", IF(AllDataApr[[#This Row],[Nitrate (PPM)]]=0, "")))))</f>
        <v>Very high</v>
      </c>
      <c r="S693" s="7">
        <v>0.36</v>
      </c>
      <c r="T693" s="7" t="str">
        <f>IF(AllDataApr[[#This Row],[Phosphate (PPM)]]&gt;0.5, "Very high", IF(AllDataApr[[#This Row],[Phosphate (PPM)]]&gt;0.1, "High", IF(AllDataApr[[#This Row],[Phosphate (PPM)]]&gt;0.05, "Some evidence", IF(AllDataApr[[#This Row],[Phosphate (PPM)]]=0, ""))))</f>
        <v>High</v>
      </c>
      <c r="U693">
        <v>0.1</v>
      </c>
    </row>
    <row r="694" spans="1:22" x14ac:dyDescent="0.3">
      <c r="A694" t="s">
        <v>1163</v>
      </c>
      <c r="B694" s="2">
        <v>45426</v>
      </c>
      <c r="C694" s="2" t="str" cm="1">
        <f t="array" ref="C69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94">
        <f>YEAR(AllDataApr[[#This Row],[Date]])</f>
        <v>2024</v>
      </c>
      <c r="E694" s="1">
        <v>0.43958333333333333</v>
      </c>
      <c r="F694" s="2" t="str">
        <f>IF(AND(AllDataApr[[#This Row],[Time]]&lt;0.5, AllDataApr[[#This Row],[Time]]&gt;0.17)=TRUE, "Morning", IF(AND(AllDataApr[[#This Row],[Time]]&lt;0.75, AllDataApr[[#This Row],[Time]]&gt;=0.5)=TRUE, "Afternoon", IF(AND(AllDataApr[[#This Row],[Time]]&lt;1, AllDataApr[[#This Row],[Time]]&gt;=0.75)=TRUE, "Evening", "Night")))</f>
        <v>Morning</v>
      </c>
      <c r="G694" t="s">
        <v>11</v>
      </c>
      <c r="H694" t="str">
        <f>_xlfn.XLOOKUP(AllDataApr[[#This Row],[Location Name]], Locations[Row Labels],Locations[Group As])</f>
        <v>Carrant Mitton Path</v>
      </c>
      <c r="I694" t="str">
        <f>_xlfn.XLOOKUP(AllDataApr[[#This Row],[Site Name]],LocationsKey[Site Name],LocationsKey[Region])</f>
        <v>Tewkesbury</v>
      </c>
      <c r="J694" t="str">
        <f>_xlfn.XLOOKUP(AllDataApr[[#This Row],[Site Name]],LocationsKey[Site Name], LocationsKey[Waterway])</f>
        <v>Carrant</v>
      </c>
      <c r="K694" t="s">
        <v>1269</v>
      </c>
      <c r="L694">
        <v>52.000104</v>
      </c>
      <c r="M694">
        <v>-2.1419250000000001</v>
      </c>
      <c r="N694" t="s">
        <v>14</v>
      </c>
      <c r="O694" s="7">
        <v>692</v>
      </c>
      <c r="P694">
        <v>16</v>
      </c>
      <c r="Q694" s="7">
        <v>6</v>
      </c>
      <c r="R694" s="7" t="str">
        <f>IF(AllDataApr[[#This Row],[Nitrate (PPM)]]&gt;2, "Very high", IF(AllDataApr[[#This Row],[Nitrate (PPM)]]&gt;1, "High", IF(AllDataApr[[#This Row],[Nitrate (PPM)]]&gt;0.5, "Some evidence", IF(AllDataApr[[#This Row],[Nitrate (PPM)]]&gt;0, "No evidence", IF(AllDataApr[[#This Row],[Nitrate (PPM)]]=0, "")))))</f>
        <v>Very high</v>
      </c>
      <c r="S694" s="7">
        <v>0.12</v>
      </c>
      <c r="T694" s="7" t="str">
        <f>IF(AllDataApr[[#This Row],[Phosphate (PPM)]]&gt;0.5, "Very high", IF(AllDataApr[[#This Row],[Phosphate (PPM)]]&gt;0.1, "High", IF(AllDataApr[[#This Row],[Phosphate (PPM)]]&gt;0.05, "Some evidence", IF(AllDataApr[[#This Row],[Phosphate (PPM)]]=0, ""))))</f>
        <v>High</v>
      </c>
      <c r="U694">
        <v>0</v>
      </c>
    </row>
    <row r="695" spans="1:22" x14ac:dyDescent="0.3">
      <c r="A695" t="s">
        <v>1162</v>
      </c>
      <c r="B695" s="2">
        <v>45426</v>
      </c>
      <c r="C695" s="2" t="str" cm="1">
        <f t="array" ref="C69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95">
        <f>YEAR(AllDataApr[[#This Row],[Date]])</f>
        <v>2024</v>
      </c>
      <c r="E695" s="1">
        <v>0.45347222222222222</v>
      </c>
      <c r="F695" s="2" t="str">
        <f>IF(AND(AllDataApr[[#This Row],[Time]]&lt;0.5, AllDataApr[[#This Row],[Time]]&gt;0.17)=TRUE, "Morning", IF(AND(AllDataApr[[#This Row],[Time]]&lt;0.75, AllDataApr[[#This Row],[Time]]&gt;=0.5)=TRUE, "Afternoon", IF(AND(AllDataApr[[#This Row],[Time]]&lt;1, AllDataApr[[#This Row],[Time]]&gt;=0.75)=TRUE, "Evening", "Night")))</f>
        <v>Morning</v>
      </c>
      <c r="G695" t="s">
        <v>11</v>
      </c>
      <c r="H695" t="str">
        <f>_xlfn.XLOOKUP(AllDataApr[[#This Row],[Location Name]], Locations[Row Labels],Locations[Group As])</f>
        <v>Carrant M5 Bridge</v>
      </c>
      <c r="I695" t="str">
        <f>_xlfn.XLOOKUP(AllDataApr[[#This Row],[Site Name]],LocationsKey[Site Name],LocationsKey[Region])</f>
        <v>Tewkesbury</v>
      </c>
      <c r="J695" t="str">
        <f>_xlfn.XLOOKUP(AllDataApr[[#This Row],[Site Name]],LocationsKey[Site Name], LocationsKey[Waterway])</f>
        <v>Carrant</v>
      </c>
      <c r="K695" t="s">
        <v>913</v>
      </c>
      <c r="L695">
        <v>52.011828999999999</v>
      </c>
      <c r="M695">
        <v>-2.1202860000000001</v>
      </c>
      <c r="N695" t="s">
        <v>14</v>
      </c>
      <c r="O695" s="7">
        <v>758</v>
      </c>
      <c r="P695">
        <v>16.2</v>
      </c>
      <c r="Q695" s="7">
        <v>7</v>
      </c>
      <c r="R695" s="7" t="str">
        <f>IF(AllDataApr[[#This Row],[Nitrate (PPM)]]&gt;2, "Very high", IF(AllDataApr[[#This Row],[Nitrate (PPM)]]&gt;1, "High", IF(AllDataApr[[#This Row],[Nitrate (PPM)]]&gt;0.5, "Some evidence", IF(AllDataApr[[#This Row],[Nitrate (PPM)]]&gt;0, "No evidence", IF(AllDataApr[[#This Row],[Nitrate (PPM)]]=0, "")))))</f>
        <v>Very high</v>
      </c>
      <c r="S695" s="7">
        <v>0.31</v>
      </c>
      <c r="T695" s="7" t="str">
        <f>IF(AllDataApr[[#This Row],[Phosphate (PPM)]]&gt;0.5, "Very high", IF(AllDataApr[[#This Row],[Phosphate (PPM)]]&gt;0.1, "High", IF(AllDataApr[[#This Row],[Phosphate (PPM)]]&gt;0.05, "Some evidence", IF(AllDataApr[[#This Row],[Phosphate (PPM)]]=0, ""))))</f>
        <v>High</v>
      </c>
      <c r="U695">
        <v>0</v>
      </c>
    </row>
    <row r="696" spans="1:22" x14ac:dyDescent="0.3">
      <c r="A696" t="s">
        <v>1157</v>
      </c>
      <c r="B696" s="2">
        <v>45427</v>
      </c>
      <c r="C696" s="2" t="str" cm="1">
        <f t="array" ref="C69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96">
        <f>YEAR(AllDataApr[[#This Row],[Date]])</f>
        <v>2024</v>
      </c>
      <c r="E696" s="1">
        <v>0.57986111111111116</v>
      </c>
      <c r="F696" s="2" t="str">
        <f>IF(AND(AllDataApr[[#This Row],[Time]]&lt;0.5, AllDataApr[[#This Row],[Time]]&gt;0.17)=TRUE, "Morning", IF(AND(AllDataApr[[#This Row],[Time]]&lt;0.75, AllDataApr[[#This Row],[Time]]&gt;=0.5)=TRUE, "Afternoon", IF(AND(AllDataApr[[#This Row],[Time]]&lt;1, AllDataApr[[#This Row],[Time]]&gt;=0.75)=TRUE, "Evening", "Night")))</f>
        <v>Afternoon</v>
      </c>
      <c r="G696" t="s">
        <v>139</v>
      </c>
      <c r="H696" t="str">
        <f>_xlfn.XLOOKUP(AllDataApr[[#This Row],[Location Name]], Locations[Row Labels],Locations[Group As])</f>
        <v>Alveston Weir</v>
      </c>
      <c r="I696" t="str">
        <f>_xlfn.XLOOKUP(AllDataApr[[#This Row],[Site Name]],LocationsKey[Site Name],LocationsKey[Region])</f>
        <v>Stratford</v>
      </c>
      <c r="J696" t="str">
        <f>_xlfn.XLOOKUP(AllDataApr[[#This Row],[Site Name]],LocationsKey[Site Name], LocationsKey[Waterway])</f>
        <v>Avon</v>
      </c>
      <c r="K696" t="s">
        <v>128</v>
      </c>
      <c r="L696">
        <v>52.214177999999997</v>
      </c>
      <c r="M696">
        <v>-1.6601600000000001</v>
      </c>
      <c r="N696" t="s">
        <v>18</v>
      </c>
      <c r="O696" s="7">
        <v>901</v>
      </c>
      <c r="P696">
        <v>18.8</v>
      </c>
      <c r="Q696" s="7">
        <v>5</v>
      </c>
      <c r="R696" s="7" t="str">
        <f>IF(AllDataApr[[#This Row],[Nitrate (PPM)]]&gt;2, "Very high", IF(AllDataApr[[#This Row],[Nitrate (PPM)]]&gt;1, "High", IF(AllDataApr[[#This Row],[Nitrate (PPM)]]&gt;0.5, "Some evidence", IF(AllDataApr[[#This Row],[Nitrate (PPM)]]&gt;0, "No evidence", IF(AllDataApr[[#This Row],[Nitrate (PPM)]]=0, "")))))</f>
        <v>Very high</v>
      </c>
      <c r="S696" s="7">
        <v>0.38</v>
      </c>
      <c r="T696" s="7" t="str">
        <f>IF(AllDataApr[[#This Row],[Phosphate (PPM)]]&gt;0.5, "Very high", IF(AllDataApr[[#This Row],[Phosphate (PPM)]]&gt;0.1, "High", IF(AllDataApr[[#This Row],[Phosphate (PPM)]]&gt;0.05, "Some evidence", IF(AllDataApr[[#This Row],[Phosphate (PPM)]]=0, ""))))</f>
        <v>High</v>
      </c>
      <c r="U696">
        <v>0</v>
      </c>
      <c r="V696" t="s">
        <v>1285</v>
      </c>
    </row>
    <row r="697" spans="1:22" x14ac:dyDescent="0.3">
      <c r="A697" t="s">
        <v>1158</v>
      </c>
      <c r="B697" s="2">
        <v>45427</v>
      </c>
      <c r="C697" s="2" t="str" cm="1">
        <f t="array" ref="C69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97">
        <f>YEAR(AllDataApr[[#This Row],[Date]])</f>
        <v>2024</v>
      </c>
      <c r="E697" s="1">
        <v>0.58333333333333337</v>
      </c>
      <c r="F697" s="2" t="str">
        <f>IF(AND(AllDataApr[[#This Row],[Time]]&lt;0.5, AllDataApr[[#This Row],[Time]]&gt;0.17)=TRUE, "Morning", IF(AND(AllDataApr[[#This Row],[Time]]&lt;0.75, AllDataApr[[#This Row],[Time]]&gt;=0.5)=TRUE, "Afternoon", IF(AND(AllDataApr[[#This Row],[Time]]&lt;1, AllDataApr[[#This Row],[Time]]&gt;=0.75)=TRUE, "Evening", "Night")))</f>
        <v>Afternoon</v>
      </c>
      <c r="G697" t="s">
        <v>127</v>
      </c>
      <c r="H697" t="str">
        <f>_xlfn.XLOOKUP(AllDataApr[[#This Row],[Location Name]], Locations[Row Labels],Locations[Group As])</f>
        <v>Swiffen Bank</v>
      </c>
      <c r="I697" t="str">
        <f>_xlfn.XLOOKUP(AllDataApr[[#This Row],[Site Name]],LocationsKey[Site Name],LocationsKey[Region])</f>
        <v>Stratford</v>
      </c>
      <c r="J697" t="str">
        <f>_xlfn.XLOOKUP(AllDataApr[[#This Row],[Site Name]],LocationsKey[Site Name], LocationsKey[Waterway])</f>
        <v>Avon</v>
      </c>
      <c r="K697" t="s">
        <v>130</v>
      </c>
      <c r="L697">
        <v>52.206477999999997</v>
      </c>
      <c r="M697">
        <v>-1.653894</v>
      </c>
      <c r="N697" t="s">
        <v>18</v>
      </c>
      <c r="O697" s="7">
        <v>699</v>
      </c>
      <c r="P697">
        <v>19.8</v>
      </c>
      <c r="Q697" s="7">
        <v>10</v>
      </c>
      <c r="R697" s="7" t="str">
        <f>IF(AllDataApr[[#This Row],[Nitrate (PPM)]]&gt;2, "Very high", IF(AllDataApr[[#This Row],[Nitrate (PPM)]]&gt;1, "High", IF(AllDataApr[[#This Row],[Nitrate (PPM)]]&gt;0.5, "Some evidence", IF(AllDataApr[[#This Row],[Nitrate (PPM)]]&gt;0, "No evidence", IF(AllDataApr[[#This Row],[Nitrate (PPM)]]=0, "")))))</f>
        <v>Very high</v>
      </c>
      <c r="S697" s="7">
        <v>0.44</v>
      </c>
      <c r="T697" s="7" t="str">
        <f>IF(AllDataApr[[#This Row],[Phosphate (PPM)]]&gt;0.5, "Very high", IF(AllDataApr[[#This Row],[Phosphate (PPM)]]&gt;0.1, "High", IF(AllDataApr[[#This Row],[Phosphate (PPM)]]&gt;0.05, "Some evidence", IF(AllDataApr[[#This Row],[Phosphate (PPM)]]=0, ""))))</f>
        <v>High</v>
      </c>
      <c r="U697">
        <v>0</v>
      </c>
      <c r="V697" t="s">
        <v>1286</v>
      </c>
    </row>
    <row r="698" spans="1:22" x14ac:dyDescent="0.3">
      <c r="A698" t="s">
        <v>1156</v>
      </c>
      <c r="B698" s="2">
        <v>45427</v>
      </c>
      <c r="C698" s="2" t="str" cm="1">
        <f t="array" ref="C69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98">
        <f>YEAR(AllDataApr[[#This Row],[Date]])</f>
        <v>2024</v>
      </c>
      <c r="E698" s="1">
        <v>0.84583333333333333</v>
      </c>
      <c r="F698" s="2" t="str">
        <f>IF(AND(AllDataApr[[#This Row],[Time]]&lt;0.5, AllDataApr[[#This Row],[Time]]&gt;0.17)=TRUE, "Morning", IF(AND(AllDataApr[[#This Row],[Time]]&lt;0.75, AllDataApr[[#This Row],[Time]]&gt;=0.5)=TRUE, "Afternoon", IF(AND(AllDataApr[[#This Row],[Time]]&lt;1, AllDataApr[[#This Row],[Time]]&gt;=0.75)=TRUE, "Evening", "Night")))</f>
        <v>Evening</v>
      </c>
      <c r="G698" t="s">
        <v>274</v>
      </c>
      <c r="H698" t="str">
        <f>_xlfn.XLOOKUP(AllDataApr[[#This Row],[Location Name]], Locations[Row Labels],Locations[Group As])</f>
        <v>Abbey Mill</v>
      </c>
      <c r="I698" t="str">
        <f>_xlfn.XLOOKUP(AllDataApr[[#This Row],[Site Name]],LocationsKey[Site Name],LocationsKey[Region])</f>
        <v>Tewkesbury</v>
      </c>
      <c r="J698" t="str">
        <f>_xlfn.XLOOKUP(AllDataApr[[#This Row],[Site Name]],LocationsKey[Site Name], LocationsKey[Waterway])</f>
        <v>Avon</v>
      </c>
      <c r="K698" t="s">
        <v>13</v>
      </c>
      <c r="L698">
        <v>51.991287</v>
      </c>
      <c r="M698">
        <v>-2.1626400000000001</v>
      </c>
      <c r="N698" t="s">
        <v>18</v>
      </c>
      <c r="O698" s="7">
        <v>956</v>
      </c>
      <c r="P698">
        <v>18.5</v>
      </c>
      <c r="Q698" s="7">
        <v>10</v>
      </c>
      <c r="R698" s="7" t="str">
        <f>IF(AllDataApr[[#This Row],[Nitrate (PPM)]]&gt;2, "Very high", IF(AllDataApr[[#This Row],[Nitrate (PPM)]]&gt;1, "High", IF(AllDataApr[[#This Row],[Nitrate (PPM)]]&gt;0.5, "Some evidence", IF(AllDataApr[[#This Row],[Nitrate (PPM)]]&gt;0, "No evidence", IF(AllDataApr[[#This Row],[Nitrate (PPM)]]=0, "")))))</f>
        <v>Very high</v>
      </c>
      <c r="S698" s="7">
        <v>0.64</v>
      </c>
      <c r="T698" s="7" t="str">
        <f>IF(AllDataApr[[#This Row],[Phosphate (PPM)]]&gt;0.5, "Very high", IF(AllDataApr[[#This Row],[Phosphate (PPM)]]&gt;0.1, "High", IF(AllDataApr[[#This Row],[Phosphate (PPM)]]&gt;0.05, "Some evidence", IF(AllDataApr[[#This Row],[Phosphate (PPM)]]=0, ""))))</f>
        <v>Very high</v>
      </c>
      <c r="U698">
        <v>0.6</v>
      </c>
    </row>
    <row r="699" spans="1:22" x14ac:dyDescent="0.3">
      <c r="A699" t="s">
        <v>1141</v>
      </c>
      <c r="B699" s="2">
        <v>45428</v>
      </c>
      <c r="C699" s="2" t="str" cm="1">
        <f t="array" ref="C69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699">
        <f>YEAR(AllDataApr[[#This Row],[Date]])</f>
        <v>2024</v>
      </c>
      <c r="E699" s="1">
        <v>0.71875</v>
      </c>
      <c r="F699" s="2" t="str">
        <f>IF(AND(AllDataApr[[#This Row],[Time]]&lt;0.5, AllDataApr[[#This Row],[Time]]&gt;0.17)=TRUE, "Morning", IF(AND(AllDataApr[[#This Row],[Time]]&lt;0.75, AllDataApr[[#This Row],[Time]]&gt;=0.5)=TRUE, "Afternoon", IF(AND(AllDataApr[[#This Row],[Time]]&lt;1, AllDataApr[[#This Row],[Time]]&gt;=0.75)=TRUE, "Evening", "Night")))</f>
        <v>Afternoon</v>
      </c>
      <c r="G699" t="s">
        <v>220</v>
      </c>
      <c r="H699" t="str">
        <f>_xlfn.XLOOKUP(AllDataApr[[#This Row],[Location Name]], Locations[Row Labels],Locations[Group As])</f>
        <v>Stour Willington</v>
      </c>
      <c r="I699" t="str">
        <f>_xlfn.XLOOKUP(AllDataApr[[#This Row],[Site Name]],LocationsKey[Site Name],LocationsKey[Region])</f>
        <v>Shipston</v>
      </c>
      <c r="J699" t="str">
        <f>_xlfn.XLOOKUP(AllDataApr[[#This Row],[Site Name]],LocationsKey[Site Name], LocationsKey[Waterway])</f>
        <v>Stour</v>
      </c>
      <c r="K699" t="s">
        <v>197</v>
      </c>
      <c r="N699" t="s">
        <v>14</v>
      </c>
      <c r="O699" s="7">
        <v>661</v>
      </c>
      <c r="P699">
        <v>16.399999999999999</v>
      </c>
      <c r="Q699" s="7">
        <v>2</v>
      </c>
      <c r="R699" s="7" t="str">
        <f>IF(AllDataApr[[#This Row],[Nitrate (PPM)]]&gt;2, "Very high", IF(AllDataApr[[#This Row],[Nitrate (PPM)]]&gt;1, "High", IF(AllDataApr[[#This Row],[Nitrate (PPM)]]&gt;0.5, "Some evidence", IF(AllDataApr[[#This Row],[Nitrate (PPM)]]&gt;0, "No evidence", IF(AllDataApr[[#This Row],[Nitrate (PPM)]]=0, "")))))</f>
        <v>High</v>
      </c>
      <c r="S699" s="7">
        <v>0.27</v>
      </c>
      <c r="T699" s="7" t="str">
        <f>IF(AllDataApr[[#This Row],[Phosphate (PPM)]]&gt;0.5, "Very high", IF(AllDataApr[[#This Row],[Phosphate (PPM)]]&gt;0.1, "High", IF(AllDataApr[[#This Row],[Phosphate (PPM)]]&gt;0.05, "Some evidence", IF(AllDataApr[[#This Row],[Phosphate (PPM)]]=0, ""))))</f>
        <v>High</v>
      </c>
      <c r="U699">
        <v>0.5</v>
      </c>
    </row>
    <row r="700" spans="1:22" x14ac:dyDescent="0.3">
      <c r="A700" t="s">
        <v>1155</v>
      </c>
      <c r="B700" s="2">
        <v>45429</v>
      </c>
      <c r="C700" s="2" t="str" cm="1">
        <f t="array" ref="C70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00">
        <f>YEAR(AllDataApr[[#This Row],[Date]])</f>
        <v>2024</v>
      </c>
      <c r="E700" s="1">
        <v>0.38263888888888886</v>
      </c>
      <c r="F700" s="2" t="str">
        <f>IF(AND(AllDataApr[[#This Row],[Time]]&lt;0.5, AllDataApr[[#This Row],[Time]]&gt;0.17)=TRUE, "Morning", IF(AND(AllDataApr[[#This Row],[Time]]&lt;0.75, AllDataApr[[#This Row],[Time]]&gt;=0.5)=TRUE, "Afternoon", IF(AND(AllDataApr[[#This Row],[Time]]&lt;1, AllDataApr[[#This Row],[Time]]&gt;=0.75)=TRUE, "Evening", "Night")))</f>
        <v>Morning</v>
      </c>
      <c r="G700" t="s">
        <v>221</v>
      </c>
      <c r="H700" t="str">
        <f>_xlfn.XLOOKUP(AllDataApr[[#This Row],[Location Name]], Locations[Row Labels],Locations[Group As])</f>
        <v>Lower Lode</v>
      </c>
      <c r="I700" t="str">
        <f>_xlfn.XLOOKUP(AllDataApr[[#This Row],[Site Name]],LocationsKey[Site Name],LocationsKey[Region])</f>
        <v>Tewkesbury</v>
      </c>
      <c r="J700" t="str">
        <f>_xlfn.XLOOKUP(AllDataApr[[#This Row],[Site Name]],LocationsKey[Site Name], LocationsKey[Waterway])</f>
        <v>Avon</v>
      </c>
      <c r="K700" t="s">
        <v>234</v>
      </c>
      <c r="L700">
        <v>51.984960000000001</v>
      </c>
      <c r="M700">
        <v>-2.1742780000000002</v>
      </c>
      <c r="N700" t="s">
        <v>18</v>
      </c>
      <c r="O700" s="7">
        <v>8440</v>
      </c>
      <c r="P700">
        <v>17.399999999999999</v>
      </c>
      <c r="Q700" s="7">
        <v>10</v>
      </c>
      <c r="R700" s="7" t="str">
        <f>IF(AllDataApr[[#This Row],[Nitrate (PPM)]]&gt;2, "Very high", IF(AllDataApr[[#This Row],[Nitrate (PPM)]]&gt;1, "High", IF(AllDataApr[[#This Row],[Nitrate (PPM)]]&gt;0.5, "Some evidence", IF(AllDataApr[[#This Row],[Nitrate (PPM)]]&gt;0, "No evidence", IF(AllDataApr[[#This Row],[Nitrate (PPM)]]=0, "")))))</f>
        <v>Very high</v>
      </c>
      <c r="S700" s="7">
        <v>0.56000000000000005</v>
      </c>
      <c r="T700" s="7" t="str">
        <f>IF(AllDataApr[[#This Row],[Phosphate (PPM)]]&gt;0.5, "Very high", IF(AllDataApr[[#This Row],[Phosphate (PPM)]]&gt;0.1, "High", IF(AllDataApr[[#This Row],[Phosphate (PPM)]]&gt;0.05, "Some evidence", IF(AllDataApr[[#This Row],[Phosphate (PPM)]]=0, ""))))</f>
        <v>Very high</v>
      </c>
      <c r="U700">
        <v>0</v>
      </c>
    </row>
    <row r="701" spans="1:22" x14ac:dyDescent="0.3">
      <c r="A701" t="s">
        <v>1151</v>
      </c>
      <c r="B701" s="2">
        <v>45429</v>
      </c>
      <c r="C701" s="2" t="str" cm="1">
        <f t="array" ref="C70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01">
        <f>YEAR(AllDataApr[[#This Row],[Date]])</f>
        <v>2024</v>
      </c>
      <c r="E701" s="1">
        <v>0.5</v>
      </c>
      <c r="F701" s="2" t="str">
        <f>IF(AND(AllDataApr[[#This Row],[Time]]&lt;0.5, AllDataApr[[#This Row],[Time]]&gt;0.17)=TRUE, "Morning", IF(AND(AllDataApr[[#This Row],[Time]]&lt;0.75, AllDataApr[[#This Row],[Time]]&gt;=0.5)=TRUE, "Afternoon", IF(AND(AllDataApr[[#This Row],[Time]]&lt;1, AllDataApr[[#This Row],[Time]]&gt;=0.75)=TRUE, "Evening", "Night")))</f>
        <v>Afternoon</v>
      </c>
      <c r="G701" t="s">
        <v>277</v>
      </c>
      <c r="H701" t="str">
        <f>_xlfn.XLOOKUP(AllDataApr[[#This Row],[Location Name]], Locations[Row Labels],Locations[Group As])</f>
        <v>Mill Bridge Peopleton</v>
      </c>
      <c r="I701" t="str">
        <f>_xlfn.XLOOKUP(AllDataApr[[#This Row],[Site Name]],LocationsKey[Site Name],LocationsKey[Region])</f>
        <v>Pershore</v>
      </c>
      <c r="J701" t="str">
        <f>_xlfn.XLOOKUP(AllDataApr[[#This Row],[Site Name]],LocationsKey[Site Name], LocationsKey[Waterway])</f>
        <v>Bow Brook</v>
      </c>
      <c r="K701" t="s">
        <v>916</v>
      </c>
      <c r="L701">
        <v>52.151504000000003</v>
      </c>
      <c r="M701">
        <v>-2.0960640000000001</v>
      </c>
      <c r="N701" t="s">
        <v>18</v>
      </c>
      <c r="O701" s="7">
        <v>1120</v>
      </c>
      <c r="P701">
        <v>16.7</v>
      </c>
      <c r="Q701" s="7">
        <v>5</v>
      </c>
      <c r="R701" s="7" t="str">
        <f>IF(AllDataApr[[#This Row],[Nitrate (PPM)]]&gt;2, "Very high", IF(AllDataApr[[#This Row],[Nitrate (PPM)]]&gt;1, "High", IF(AllDataApr[[#This Row],[Nitrate (PPM)]]&gt;0.5, "Some evidence", IF(AllDataApr[[#This Row],[Nitrate (PPM)]]&gt;0, "No evidence", IF(AllDataApr[[#This Row],[Nitrate (PPM)]]=0, "")))))</f>
        <v>Very high</v>
      </c>
      <c r="S701" s="7">
        <v>1.04</v>
      </c>
      <c r="T701" s="7" t="str">
        <f>IF(AllDataApr[[#This Row],[Phosphate (PPM)]]&gt;0.5, "Very high", IF(AllDataApr[[#This Row],[Phosphate (PPM)]]&gt;0.1, "High", IF(AllDataApr[[#This Row],[Phosphate (PPM)]]&gt;0.05, "Some evidence", IF(AllDataApr[[#This Row],[Phosphate (PPM)]]=0, ""))))</f>
        <v>Very high</v>
      </c>
      <c r="U701">
        <v>0.45</v>
      </c>
    </row>
    <row r="702" spans="1:22" x14ac:dyDescent="0.3">
      <c r="A702" t="s">
        <v>1154</v>
      </c>
      <c r="B702" s="2">
        <v>45429</v>
      </c>
      <c r="C702" s="2" t="str" cm="1">
        <f t="array" ref="C70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02">
        <f>YEAR(AllDataApr[[#This Row],[Date]])</f>
        <v>2024</v>
      </c>
      <c r="E702" s="1">
        <v>0.54513888888888884</v>
      </c>
      <c r="F702" s="2" t="str">
        <f>IF(AND(AllDataApr[[#This Row],[Time]]&lt;0.5, AllDataApr[[#This Row],[Time]]&gt;0.17)=TRUE, "Morning", IF(AND(AllDataApr[[#This Row],[Time]]&lt;0.75, AllDataApr[[#This Row],[Time]]&gt;=0.5)=TRUE, "Afternoon", IF(AND(AllDataApr[[#This Row],[Time]]&lt;1, AllDataApr[[#This Row],[Time]]&gt;=0.75)=TRUE, "Evening", "Night")))</f>
        <v>Afternoon</v>
      </c>
      <c r="G702" t="s">
        <v>11</v>
      </c>
      <c r="H702" t="str">
        <f>_xlfn.XLOOKUP(AllDataApr[[#This Row],[Location Name]], Locations[Row Labels],Locations[Group As])</f>
        <v>Swilgate</v>
      </c>
      <c r="I702" t="str">
        <f>_xlfn.XLOOKUP(AllDataApr[[#This Row],[Site Name]],LocationsKey[Site Name],LocationsKey[Region])</f>
        <v>Tewkesbury</v>
      </c>
      <c r="J702" t="str">
        <f>_xlfn.XLOOKUP(AllDataApr[[#This Row],[Site Name]],LocationsKey[Site Name], LocationsKey[Waterway])</f>
        <v>Swilgate</v>
      </c>
      <c r="K702" t="s">
        <v>196</v>
      </c>
      <c r="L702">
        <v>51.988481</v>
      </c>
      <c r="M702">
        <v>-2.1641349999999999</v>
      </c>
      <c r="N702" t="s">
        <v>14</v>
      </c>
      <c r="O702" s="7">
        <v>857</v>
      </c>
      <c r="P702">
        <v>16.600000000000001</v>
      </c>
      <c r="Q702" s="7">
        <v>5</v>
      </c>
      <c r="R702" s="7" t="str">
        <f>IF(AllDataApr[[#This Row],[Nitrate (PPM)]]&gt;2, "Very high", IF(AllDataApr[[#This Row],[Nitrate (PPM)]]&gt;1, "High", IF(AllDataApr[[#This Row],[Nitrate (PPM)]]&gt;0.5, "Some evidence", IF(AllDataApr[[#This Row],[Nitrate (PPM)]]&gt;0, "No evidence", IF(AllDataApr[[#This Row],[Nitrate (PPM)]]=0, "")))))</f>
        <v>Very high</v>
      </c>
      <c r="S702" s="7">
        <v>0.13</v>
      </c>
      <c r="T702" s="7" t="str">
        <f>IF(AllDataApr[[#This Row],[Phosphate (PPM)]]&gt;0.5, "Very high", IF(AllDataApr[[#This Row],[Phosphate (PPM)]]&gt;0.1, "High", IF(AllDataApr[[#This Row],[Phosphate (PPM)]]&gt;0.05, "Some evidence", IF(AllDataApr[[#This Row],[Phosphate (PPM)]]=0, ""))))</f>
        <v>High</v>
      </c>
      <c r="U702">
        <v>0</v>
      </c>
    </row>
    <row r="703" spans="1:22" x14ac:dyDescent="0.3">
      <c r="A703" t="s">
        <v>1149</v>
      </c>
      <c r="B703" s="2">
        <v>45430</v>
      </c>
      <c r="C703" s="2" t="str" cm="1">
        <f t="array" ref="C70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03">
        <f>YEAR(AllDataApr[[#This Row],[Date]])</f>
        <v>2024</v>
      </c>
      <c r="E703" s="1">
        <v>0.44791666666666669</v>
      </c>
      <c r="F703" s="2" t="str">
        <f>IF(AND(AllDataApr[[#This Row],[Time]]&lt;0.5, AllDataApr[[#This Row],[Time]]&gt;0.17)=TRUE, "Morning", IF(AND(AllDataApr[[#This Row],[Time]]&lt;0.75, AllDataApr[[#This Row],[Time]]&gt;=0.5)=TRUE, "Afternoon", IF(AND(AllDataApr[[#This Row],[Time]]&lt;1, AllDataApr[[#This Row],[Time]]&gt;=0.75)=TRUE, "Evening", "Night")))</f>
        <v>Morning</v>
      </c>
      <c r="G703" t="s">
        <v>38</v>
      </c>
      <c r="H703" t="str">
        <f>_xlfn.XLOOKUP(AllDataApr[[#This Row],[Location Name]], Locations[Row Labels],Locations[Group As])</f>
        <v>Pitch 16</v>
      </c>
      <c r="I703" t="str">
        <f>_xlfn.XLOOKUP(AllDataApr[[#This Row],[Site Name]],LocationsKey[Site Name],LocationsKey[Region])</f>
        <v>Stratford</v>
      </c>
      <c r="J703" t="str">
        <f>_xlfn.XLOOKUP(AllDataApr[[#This Row],[Site Name]],LocationsKey[Site Name], LocationsKey[Waterway])</f>
        <v>Avon</v>
      </c>
      <c r="K703" t="s">
        <v>39</v>
      </c>
      <c r="L703">
        <v>52.173501999999999</v>
      </c>
      <c r="M703">
        <v>-1.743617</v>
      </c>
      <c r="N703" t="s">
        <v>18</v>
      </c>
      <c r="O703" s="7">
        <v>904</v>
      </c>
      <c r="P703">
        <v>20.2</v>
      </c>
      <c r="Q703" s="7">
        <v>6</v>
      </c>
      <c r="R703" s="7" t="str">
        <f>IF(AllDataApr[[#This Row],[Nitrate (PPM)]]&gt;2, "Very high", IF(AllDataApr[[#This Row],[Nitrate (PPM)]]&gt;1, "High", IF(AllDataApr[[#This Row],[Nitrate (PPM)]]&gt;0.5, "Some evidence", IF(AllDataApr[[#This Row],[Nitrate (PPM)]]&gt;0, "No evidence", IF(AllDataApr[[#This Row],[Nitrate (PPM)]]=0, "")))))</f>
        <v>Very high</v>
      </c>
      <c r="S703" s="7">
        <v>0.38</v>
      </c>
      <c r="T703" s="7" t="str">
        <f>IF(AllDataApr[[#This Row],[Phosphate (PPM)]]&gt;0.5, "Very high", IF(AllDataApr[[#This Row],[Phosphate (PPM)]]&gt;0.1, "High", IF(AllDataApr[[#This Row],[Phosphate (PPM)]]&gt;0.05, "Some evidence", IF(AllDataApr[[#This Row],[Phosphate (PPM)]]=0, ""))))</f>
        <v>High</v>
      </c>
      <c r="U703">
        <v>0.5</v>
      </c>
    </row>
    <row r="704" spans="1:22" x14ac:dyDescent="0.3">
      <c r="A704" t="s">
        <v>1150</v>
      </c>
      <c r="B704" s="2">
        <v>45430</v>
      </c>
      <c r="C704" s="2" t="str" cm="1">
        <f t="array" ref="C70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04">
        <f>YEAR(AllDataApr[[#This Row],[Date]])</f>
        <v>2024</v>
      </c>
      <c r="E704" s="1">
        <v>0.44861111111111113</v>
      </c>
      <c r="F704" s="2" t="str">
        <f>IF(AND(AllDataApr[[#This Row],[Time]]&lt;0.5, AllDataApr[[#This Row],[Time]]&gt;0.17)=TRUE, "Morning", IF(AND(AllDataApr[[#This Row],[Time]]&lt;0.75, AllDataApr[[#This Row],[Time]]&gt;=0.5)=TRUE, "Afternoon", IF(AND(AllDataApr[[#This Row],[Time]]&lt;1, AllDataApr[[#This Row],[Time]]&gt;=0.75)=TRUE, "Evening", "Night")))</f>
        <v>Morning</v>
      </c>
      <c r="G704" t="s">
        <v>1259</v>
      </c>
      <c r="H704" t="str">
        <f>_xlfn.XLOOKUP(AllDataApr[[#This Row],[Location Name]], Locations[Row Labels],Locations[Group As])</f>
        <v>Avon Smiths Meadow Wyre Piddle</v>
      </c>
      <c r="I704" t="str">
        <f>_xlfn.XLOOKUP(AllDataApr[[#This Row],[Site Name]],LocationsKey[Site Name],LocationsKey[Region])</f>
        <v>Pershore</v>
      </c>
      <c r="J704" t="str">
        <f>_xlfn.XLOOKUP(AllDataApr[[#This Row],[Site Name]],LocationsKey[Site Name], LocationsKey[Waterway])</f>
        <v>Avon</v>
      </c>
      <c r="K704" t="s">
        <v>909</v>
      </c>
      <c r="L704">
        <v>52.122874000000003</v>
      </c>
      <c r="M704">
        <v>-2.057477</v>
      </c>
      <c r="N704" t="s">
        <v>14</v>
      </c>
      <c r="O704" s="7">
        <v>929</v>
      </c>
      <c r="P704">
        <v>18</v>
      </c>
      <c r="Q704" s="7">
        <v>7</v>
      </c>
      <c r="R704" s="7" t="str">
        <f>IF(AllDataApr[[#This Row],[Nitrate (PPM)]]&gt;2, "Very high", IF(AllDataApr[[#This Row],[Nitrate (PPM)]]&gt;1, "High", IF(AllDataApr[[#This Row],[Nitrate (PPM)]]&gt;0.5, "Some evidence", IF(AllDataApr[[#This Row],[Nitrate (PPM)]]&gt;0, "No evidence", IF(AllDataApr[[#This Row],[Nitrate (PPM)]]=0, "")))))</f>
        <v>Very high</v>
      </c>
      <c r="S704" s="7">
        <v>0.57999999999999996</v>
      </c>
      <c r="T704" s="7" t="str">
        <f>IF(AllDataApr[[#This Row],[Phosphate (PPM)]]&gt;0.5, "Very high", IF(AllDataApr[[#This Row],[Phosphate (PPM)]]&gt;0.1, "High", IF(AllDataApr[[#This Row],[Phosphate (PPM)]]&gt;0.05, "Some evidence", IF(AllDataApr[[#This Row],[Phosphate (PPM)]]=0, ""))))</f>
        <v>Very high</v>
      </c>
      <c r="U704">
        <v>0.64</v>
      </c>
      <c r="V704" t="s">
        <v>1284</v>
      </c>
    </row>
    <row r="705" spans="1:22" x14ac:dyDescent="0.3">
      <c r="A705" t="s">
        <v>1147</v>
      </c>
      <c r="B705" s="2">
        <v>45430</v>
      </c>
      <c r="C705" s="2" t="str" cm="1">
        <f t="array" ref="C70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05">
        <f>YEAR(AllDataApr[[#This Row],[Date]])</f>
        <v>2024</v>
      </c>
      <c r="E705" s="1">
        <v>0.46388888888888891</v>
      </c>
      <c r="F705" s="2" t="str">
        <f>IF(AND(AllDataApr[[#This Row],[Time]]&lt;0.5, AllDataApr[[#This Row],[Time]]&gt;0.17)=TRUE, "Morning", IF(AND(AllDataApr[[#This Row],[Time]]&lt;0.75, AllDataApr[[#This Row],[Time]]&gt;=0.5)=TRUE, "Afternoon", IF(AND(AllDataApr[[#This Row],[Time]]&lt;1, AllDataApr[[#This Row],[Time]]&gt;=0.75)=TRUE, "Evening", "Night")))</f>
        <v>Morning</v>
      </c>
      <c r="G705" t="s">
        <v>38</v>
      </c>
      <c r="H705" t="str">
        <f>_xlfn.XLOOKUP(AllDataApr[[#This Row],[Location Name]], Locations[Row Labels],Locations[Group As])</f>
        <v>Avonbank Drive</v>
      </c>
      <c r="I705" t="str">
        <f>_xlfn.XLOOKUP(AllDataApr[[#This Row],[Site Name]],LocationsKey[Site Name],LocationsKey[Region])</f>
        <v>Stratford</v>
      </c>
      <c r="J705" t="str">
        <f>_xlfn.XLOOKUP(AllDataApr[[#This Row],[Site Name]],LocationsKey[Site Name], LocationsKey[Waterway])</f>
        <v>Avon</v>
      </c>
      <c r="K705" t="s">
        <v>147</v>
      </c>
      <c r="L705">
        <v>52.177067999999998</v>
      </c>
      <c r="M705">
        <v>-1.7359260000000001</v>
      </c>
      <c r="N705" t="s">
        <v>42</v>
      </c>
      <c r="O705" s="7">
        <v>908</v>
      </c>
      <c r="P705">
        <v>20.100000000000001</v>
      </c>
      <c r="Q705" s="7">
        <v>10</v>
      </c>
      <c r="R705" s="7" t="str">
        <f>IF(AllDataApr[[#This Row],[Nitrate (PPM)]]&gt;2, "Very high", IF(AllDataApr[[#This Row],[Nitrate (PPM)]]&gt;1, "High", IF(AllDataApr[[#This Row],[Nitrate (PPM)]]&gt;0.5, "Some evidence", IF(AllDataApr[[#This Row],[Nitrate (PPM)]]&gt;0, "No evidence", IF(AllDataApr[[#This Row],[Nitrate (PPM)]]=0, "")))))</f>
        <v>Very high</v>
      </c>
      <c r="S705" s="7">
        <v>0.28999999999999998</v>
      </c>
      <c r="T705" s="7" t="str">
        <f>IF(AllDataApr[[#This Row],[Phosphate (PPM)]]&gt;0.5, "Very high", IF(AllDataApr[[#This Row],[Phosphate (PPM)]]&gt;0.1, "High", IF(AllDataApr[[#This Row],[Phosphate (PPM)]]&gt;0.05, "Some evidence", IF(AllDataApr[[#This Row],[Phosphate (PPM)]]=0, ""))))</f>
        <v>High</v>
      </c>
      <c r="U705">
        <v>0.5</v>
      </c>
    </row>
    <row r="706" spans="1:22" x14ac:dyDescent="0.3">
      <c r="A706" t="s">
        <v>1148</v>
      </c>
      <c r="B706" s="2">
        <v>45430</v>
      </c>
      <c r="C706" s="2" t="str" cm="1">
        <f t="array" ref="C70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06">
        <f>YEAR(AllDataApr[[#This Row],[Date]])</f>
        <v>2024</v>
      </c>
      <c r="E706" s="1">
        <v>0.48125000000000001</v>
      </c>
      <c r="F706" s="2" t="str">
        <f>IF(AND(AllDataApr[[#This Row],[Time]]&lt;0.5, AllDataApr[[#This Row],[Time]]&gt;0.17)=TRUE, "Morning", IF(AND(AllDataApr[[#This Row],[Time]]&lt;0.75, AllDataApr[[#This Row],[Time]]&gt;=0.5)=TRUE, "Afternoon", IF(AND(AllDataApr[[#This Row],[Time]]&lt;1, AllDataApr[[#This Row],[Time]]&gt;=0.75)=TRUE, "Evening", "Night")))</f>
        <v>Morning</v>
      </c>
      <c r="G706" t="s">
        <v>1258</v>
      </c>
      <c r="H706" t="str">
        <f>_xlfn.XLOOKUP(AllDataApr[[#This Row],[Location Name]], Locations[Row Labels],Locations[Group As])</f>
        <v>Piddle Brook Wyre Piddle Bridge</v>
      </c>
      <c r="I706" t="str">
        <f>_xlfn.XLOOKUP(AllDataApr[[#This Row],[Site Name]],LocationsKey[Site Name],LocationsKey[Region])</f>
        <v>Pershore</v>
      </c>
      <c r="J706" t="str">
        <f>_xlfn.XLOOKUP(AllDataApr[[#This Row],[Site Name]],LocationsKey[Site Name], LocationsKey[Waterway])</f>
        <v>Piddle Brook</v>
      </c>
      <c r="K706" t="s">
        <v>908</v>
      </c>
      <c r="L706">
        <v>52.126404999999998</v>
      </c>
      <c r="M706">
        <v>-2.056543</v>
      </c>
      <c r="N706" t="s">
        <v>14</v>
      </c>
      <c r="O706" s="7">
        <v>1310</v>
      </c>
      <c r="P706">
        <v>16.2</v>
      </c>
      <c r="Q706" s="7">
        <v>5</v>
      </c>
      <c r="R706" s="7" t="str">
        <f>IF(AllDataApr[[#This Row],[Nitrate (PPM)]]&gt;2, "Very high", IF(AllDataApr[[#This Row],[Nitrate (PPM)]]&gt;1, "High", IF(AllDataApr[[#This Row],[Nitrate (PPM)]]&gt;0.5, "Some evidence", IF(AllDataApr[[#This Row],[Nitrate (PPM)]]&gt;0, "No evidence", IF(AllDataApr[[#This Row],[Nitrate (PPM)]]=0, "")))))</f>
        <v>Very high</v>
      </c>
      <c r="S706" s="7">
        <v>0.89</v>
      </c>
      <c r="T706" s="7" t="str">
        <f>IF(AllDataApr[[#This Row],[Phosphate (PPM)]]&gt;0.5, "Very high", IF(AllDataApr[[#This Row],[Phosphate (PPM)]]&gt;0.1, "High", IF(AllDataApr[[#This Row],[Phosphate (PPM)]]&gt;0.05, "Some evidence", IF(AllDataApr[[#This Row],[Phosphate (PPM)]]=0, ""))))</f>
        <v>Very high</v>
      </c>
      <c r="U706">
        <v>0.22</v>
      </c>
      <c r="V706" t="s">
        <v>1283</v>
      </c>
    </row>
    <row r="707" spans="1:22" x14ac:dyDescent="0.3">
      <c r="A707" t="s">
        <v>1144</v>
      </c>
      <c r="B707" s="2">
        <v>45430</v>
      </c>
      <c r="C707" s="2" t="str" cm="1">
        <f t="array" ref="C70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07">
        <f>YEAR(AllDataApr[[#This Row],[Date]])</f>
        <v>2024</v>
      </c>
      <c r="E707" s="1">
        <v>0.52083333333333337</v>
      </c>
      <c r="F707" s="2" t="str">
        <f>IF(AND(AllDataApr[[#This Row],[Time]]&lt;0.5, AllDataApr[[#This Row],[Time]]&gt;0.17)=TRUE, "Morning", IF(AND(AllDataApr[[#This Row],[Time]]&lt;0.75, AllDataApr[[#This Row],[Time]]&gt;=0.5)=TRUE, "Afternoon", IF(AND(AllDataApr[[#This Row],[Time]]&lt;1, AllDataApr[[#This Row],[Time]]&gt;=0.75)=TRUE, "Evening", "Night")))</f>
        <v>Afternoon</v>
      </c>
      <c r="G707" t="s">
        <v>1257</v>
      </c>
      <c r="H707" t="str">
        <f>_xlfn.XLOOKUP(AllDataApr[[#This Row],[Location Name]], Locations[Row Labels],Locations[Group As])</f>
        <v>Fell Mill Footbridge</v>
      </c>
      <c r="I707" t="str">
        <f>_xlfn.XLOOKUP(AllDataApr[[#This Row],[Site Name]],LocationsKey[Site Name],LocationsKey[Region])</f>
        <v>Shipston</v>
      </c>
      <c r="J707" t="str">
        <f>_xlfn.XLOOKUP(AllDataApr[[#This Row],[Site Name]],LocationsKey[Site Name], LocationsKey[Waterway])</f>
        <v>Stour</v>
      </c>
      <c r="K707" t="s">
        <v>910</v>
      </c>
      <c r="L707">
        <v>52.070086000000003</v>
      </c>
      <c r="M707">
        <v>-1.61145</v>
      </c>
      <c r="N707" t="s">
        <v>18</v>
      </c>
      <c r="O707" s="7">
        <v>632</v>
      </c>
      <c r="P707">
        <v>15.9</v>
      </c>
      <c r="Q707" s="7">
        <v>5</v>
      </c>
      <c r="R707" s="7" t="str">
        <f>IF(AllDataApr[[#This Row],[Nitrate (PPM)]]&gt;2, "Very high", IF(AllDataApr[[#This Row],[Nitrate (PPM)]]&gt;1, "High", IF(AllDataApr[[#This Row],[Nitrate (PPM)]]&gt;0.5, "Some evidence", IF(AllDataApr[[#This Row],[Nitrate (PPM)]]&gt;0, "No evidence", IF(AllDataApr[[#This Row],[Nitrate (PPM)]]=0, "")))))</f>
        <v>Very high</v>
      </c>
      <c r="S707" s="7">
        <v>0.12</v>
      </c>
      <c r="T707" s="7" t="str">
        <f>IF(AllDataApr[[#This Row],[Phosphate (PPM)]]&gt;0.5, "Very high", IF(AllDataApr[[#This Row],[Phosphate (PPM)]]&gt;0.1, "High", IF(AllDataApr[[#This Row],[Phosphate (PPM)]]&gt;0.05, "Some evidence", IF(AllDataApr[[#This Row],[Phosphate (PPM)]]=0, ""))))</f>
        <v>High</v>
      </c>
      <c r="U707">
        <v>1.23</v>
      </c>
      <c r="V707" t="s">
        <v>1282</v>
      </c>
    </row>
    <row r="708" spans="1:22" x14ac:dyDescent="0.3">
      <c r="A708" t="s">
        <v>1146</v>
      </c>
      <c r="B708" s="2">
        <v>45430</v>
      </c>
      <c r="C708" s="2" t="str" cm="1">
        <f t="array" ref="C70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08">
        <f>YEAR(AllDataApr[[#This Row],[Date]])</f>
        <v>2024</v>
      </c>
      <c r="E708" s="1">
        <v>0.63263888888888886</v>
      </c>
      <c r="F708" s="2" t="str">
        <f>IF(AND(AllDataApr[[#This Row],[Time]]&lt;0.5, AllDataApr[[#This Row],[Time]]&gt;0.17)=TRUE, "Morning", IF(AND(AllDataApr[[#This Row],[Time]]&lt;0.75, AllDataApr[[#This Row],[Time]]&gt;=0.5)=TRUE, "Afternoon", IF(AND(AllDataApr[[#This Row],[Time]]&lt;1, AllDataApr[[#This Row],[Time]]&gt;=0.75)=TRUE, "Evening", "Night")))</f>
        <v>Afternoon</v>
      </c>
      <c r="G708" t="s">
        <v>59</v>
      </c>
      <c r="H708" t="str">
        <f>_xlfn.XLOOKUP(AllDataApr[[#This Row],[Location Name]], Locations[Row Labels],Locations[Group As])</f>
        <v>Preston-on-Stour River Bridge</v>
      </c>
      <c r="I708" t="str">
        <f>_xlfn.XLOOKUP(AllDataApr[[#This Row],[Site Name]],LocationsKey[Site Name],LocationsKey[Region])</f>
        <v>Stratford</v>
      </c>
      <c r="J708" t="str">
        <f>_xlfn.XLOOKUP(AllDataApr[[#This Row],[Site Name]],LocationsKey[Site Name], LocationsKey[Waterway])</f>
        <v>Stour</v>
      </c>
      <c r="K708" t="s">
        <v>78</v>
      </c>
      <c r="L708">
        <v>52.146642</v>
      </c>
      <c r="M708">
        <v>-1.700315</v>
      </c>
      <c r="N708" t="s">
        <v>18</v>
      </c>
      <c r="O708" s="7">
        <v>699</v>
      </c>
      <c r="P708">
        <v>17.100000000000001</v>
      </c>
      <c r="Q708" s="7">
        <v>5</v>
      </c>
      <c r="R708" s="7" t="str">
        <f>IF(AllDataApr[[#This Row],[Nitrate (PPM)]]&gt;2, "Very high", IF(AllDataApr[[#This Row],[Nitrate (PPM)]]&gt;1, "High", IF(AllDataApr[[#This Row],[Nitrate (PPM)]]&gt;0.5, "Some evidence", IF(AllDataApr[[#This Row],[Nitrate (PPM)]]&gt;0, "No evidence", IF(AllDataApr[[#This Row],[Nitrate (PPM)]]=0, "")))))</f>
        <v>Very high</v>
      </c>
      <c r="S708" s="7">
        <v>0.28999999999999998</v>
      </c>
      <c r="T708" s="7" t="str">
        <f>IF(AllDataApr[[#This Row],[Phosphate (PPM)]]&gt;0.5, "Very high", IF(AllDataApr[[#This Row],[Phosphate (PPM)]]&gt;0.1, "High", IF(AllDataApr[[#This Row],[Phosphate (PPM)]]&gt;0.05, "Some evidence", IF(AllDataApr[[#This Row],[Phosphate (PPM)]]=0, ""))))</f>
        <v>High</v>
      </c>
      <c r="U708">
        <v>1.25</v>
      </c>
    </row>
    <row r="709" spans="1:22" x14ac:dyDescent="0.3">
      <c r="A709" t="s">
        <v>1145</v>
      </c>
      <c r="B709" s="2">
        <v>45430</v>
      </c>
      <c r="C709" s="2" t="str" cm="1">
        <f t="array" ref="C70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09">
        <f>YEAR(AllDataApr[[#This Row],[Date]])</f>
        <v>2024</v>
      </c>
      <c r="E709" s="1">
        <v>0.73541666666666672</v>
      </c>
      <c r="F709" s="2" t="str">
        <f>IF(AND(AllDataApr[[#This Row],[Time]]&lt;0.5, AllDataApr[[#This Row],[Time]]&gt;0.17)=TRUE, "Morning", IF(AND(AllDataApr[[#This Row],[Time]]&lt;0.75, AllDataApr[[#This Row],[Time]]&gt;=0.5)=TRUE, "Afternoon", IF(AND(AllDataApr[[#This Row],[Time]]&lt;1, AllDataApr[[#This Row],[Time]]&gt;=0.75)=TRUE, "Evening", "Night")))</f>
        <v>Afternoon</v>
      </c>
      <c r="G709" t="s">
        <v>11</v>
      </c>
      <c r="H709" t="str">
        <f>_xlfn.XLOOKUP(AllDataApr[[#This Row],[Location Name]], Locations[Row Labels],Locations[Group As])</f>
        <v>Black Bear</v>
      </c>
      <c r="I709" t="str">
        <f>_xlfn.XLOOKUP(AllDataApr[[#This Row],[Site Name]],LocationsKey[Site Name],LocationsKey[Region])</f>
        <v>Tewkesbury</v>
      </c>
      <c r="J709" t="str">
        <f>_xlfn.XLOOKUP(AllDataApr[[#This Row],[Site Name]],LocationsKey[Site Name], LocationsKey[Waterway])</f>
        <v>Avon</v>
      </c>
      <c r="K709" t="s">
        <v>231</v>
      </c>
      <c r="L709">
        <v>51.997385999999999</v>
      </c>
      <c r="M709">
        <v>-2.1561940000000002</v>
      </c>
      <c r="N709" t="s">
        <v>14</v>
      </c>
      <c r="O709" s="7">
        <v>917</v>
      </c>
      <c r="P709">
        <v>19.5</v>
      </c>
      <c r="Q709" s="7">
        <v>8</v>
      </c>
      <c r="R709" s="7" t="str">
        <f>IF(AllDataApr[[#This Row],[Nitrate (PPM)]]&gt;2, "Very high", IF(AllDataApr[[#This Row],[Nitrate (PPM)]]&gt;1, "High", IF(AllDataApr[[#This Row],[Nitrate (PPM)]]&gt;0.5, "Some evidence", IF(AllDataApr[[#This Row],[Nitrate (PPM)]]&gt;0, "No evidence", IF(AllDataApr[[#This Row],[Nitrate (PPM)]]=0, "")))))</f>
        <v>Very high</v>
      </c>
      <c r="S709" s="7">
        <v>0.54</v>
      </c>
      <c r="T709" s="7" t="str">
        <f>IF(AllDataApr[[#This Row],[Phosphate (PPM)]]&gt;0.5, "Very high", IF(AllDataApr[[#This Row],[Phosphate (PPM)]]&gt;0.1, "High", IF(AllDataApr[[#This Row],[Phosphate (PPM)]]&gt;0.05, "Some evidence", IF(AllDataApr[[#This Row],[Phosphate (PPM)]]=0, ""))))</f>
        <v>Very high</v>
      </c>
      <c r="U709">
        <v>0</v>
      </c>
    </row>
    <row r="710" spans="1:22" x14ac:dyDescent="0.3">
      <c r="A710" t="s">
        <v>1143</v>
      </c>
      <c r="B710" s="2">
        <v>45431</v>
      </c>
      <c r="C710" s="2" t="str" cm="1">
        <f t="array" ref="C71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10">
        <f>YEAR(AllDataApr[[#This Row],[Date]])</f>
        <v>2024</v>
      </c>
      <c r="E710" s="1">
        <v>0.5</v>
      </c>
      <c r="F710" s="2" t="str">
        <f>IF(AND(AllDataApr[[#This Row],[Time]]&lt;0.5, AllDataApr[[#This Row],[Time]]&gt;0.17)=TRUE, "Morning", IF(AND(AllDataApr[[#This Row],[Time]]&lt;0.75, AllDataApr[[#This Row],[Time]]&gt;=0.5)=TRUE, "Afternoon", IF(AND(AllDataApr[[#This Row],[Time]]&lt;1, AllDataApr[[#This Row],[Time]]&gt;=0.75)=TRUE, "Evening", "Night")))</f>
        <v>Afternoon</v>
      </c>
      <c r="G710" t="s">
        <v>52</v>
      </c>
      <c r="H710" t="str">
        <f>_xlfn.XLOOKUP(AllDataApr[[#This Row],[Location Name]], Locations[Row Labels],Locations[Group As])</f>
        <v>Carrant Bredon Rd</v>
      </c>
      <c r="I710" t="str">
        <f>_xlfn.XLOOKUP(AllDataApr[[#This Row],[Site Name]],LocationsKey[Site Name],LocationsKey[Region])</f>
        <v>Tewkesbury</v>
      </c>
      <c r="J710" t="str">
        <f>_xlfn.XLOOKUP(AllDataApr[[#This Row],[Site Name]],LocationsKey[Site Name], LocationsKey[Waterway])</f>
        <v>Carrant</v>
      </c>
      <c r="K710" t="s">
        <v>179</v>
      </c>
      <c r="L710">
        <v>51.996167</v>
      </c>
      <c r="M710">
        <v>-2.156129</v>
      </c>
      <c r="N710" t="s">
        <v>200</v>
      </c>
      <c r="O710" s="7">
        <v>741</v>
      </c>
      <c r="P710">
        <v>16.399999999999999</v>
      </c>
      <c r="Q710" s="7">
        <v>6</v>
      </c>
      <c r="R710" s="7" t="str">
        <f>IF(AllDataApr[[#This Row],[Nitrate (PPM)]]&gt;2, "Very high", IF(AllDataApr[[#This Row],[Nitrate (PPM)]]&gt;1, "High", IF(AllDataApr[[#This Row],[Nitrate (PPM)]]&gt;0.5, "Some evidence", IF(AllDataApr[[#This Row],[Nitrate (PPM)]]&gt;0, "No evidence", IF(AllDataApr[[#This Row],[Nitrate (PPM)]]=0, "")))))</f>
        <v>Very high</v>
      </c>
      <c r="S710" s="7">
        <v>0.31</v>
      </c>
      <c r="T710" s="7" t="str">
        <f>IF(AllDataApr[[#This Row],[Phosphate (PPM)]]&gt;0.5, "Very high", IF(AllDataApr[[#This Row],[Phosphate (PPM)]]&gt;0.1, "High", IF(AllDataApr[[#This Row],[Phosphate (PPM)]]&gt;0.05, "Some evidence", IF(AllDataApr[[#This Row],[Phosphate (PPM)]]=0, ""))))</f>
        <v>High</v>
      </c>
      <c r="U710">
        <v>0.05</v>
      </c>
    </row>
    <row r="711" spans="1:22" x14ac:dyDescent="0.3">
      <c r="A711" t="s">
        <v>1138</v>
      </c>
      <c r="B711" s="2">
        <v>45431</v>
      </c>
      <c r="C711" s="2" t="str" cm="1">
        <f t="array" ref="C71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11">
        <f>YEAR(AllDataApr[[#This Row],[Date]])</f>
        <v>2024</v>
      </c>
      <c r="E711" s="1">
        <v>0.58333333333333337</v>
      </c>
      <c r="F711" s="2" t="str">
        <f>IF(AND(AllDataApr[[#This Row],[Time]]&lt;0.5, AllDataApr[[#This Row],[Time]]&gt;0.17)=TRUE, "Morning", IF(AND(AllDataApr[[#This Row],[Time]]&lt;0.75, AllDataApr[[#This Row],[Time]]&gt;=0.5)=TRUE, "Afternoon", IF(AND(AllDataApr[[#This Row],[Time]]&lt;1, AllDataApr[[#This Row],[Time]]&gt;=0.75)=TRUE, "Evening", "Night")))</f>
        <v>Afternoon</v>
      </c>
      <c r="G711" t="s">
        <v>112</v>
      </c>
      <c r="H711" t="str">
        <f>_xlfn.XLOOKUP(AllDataApr[[#This Row],[Location Name]], Locations[Row Labels],Locations[Group As])</f>
        <v>Clifford Chambers Mill Bridge</v>
      </c>
      <c r="I711" t="str">
        <f>_xlfn.XLOOKUP(AllDataApr[[#This Row],[Site Name]],LocationsKey[Site Name],LocationsKey[Region])</f>
        <v>Stratford</v>
      </c>
      <c r="J711" t="str">
        <f>_xlfn.XLOOKUP(AllDataApr[[#This Row],[Site Name]],LocationsKey[Site Name], LocationsKey[Waterway])</f>
        <v>Stour</v>
      </c>
      <c r="K711" t="s">
        <v>119</v>
      </c>
      <c r="L711">
        <v>52.166370000000001</v>
      </c>
      <c r="M711">
        <v>-0.70803199999999999</v>
      </c>
      <c r="N711" t="s">
        <v>42</v>
      </c>
      <c r="O711" s="7">
        <v>693</v>
      </c>
      <c r="P711">
        <v>19.2</v>
      </c>
      <c r="Q711" s="7">
        <v>8</v>
      </c>
      <c r="R711" s="7" t="str">
        <f>IF(AllDataApr[[#This Row],[Nitrate (PPM)]]&gt;2, "Very high", IF(AllDataApr[[#This Row],[Nitrate (PPM)]]&gt;1, "High", IF(AllDataApr[[#This Row],[Nitrate (PPM)]]&gt;0.5, "Some evidence", IF(AllDataApr[[#This Row],[Nitrate (PPM)]]&gt;0, "No evidence", IF(AllDataApr[[#This Row],[Nitrate (PPM)]]=0, "")))))</f>
        <v>Very high</v>
      </c>
      <c r="S711" s="7">
        <v>0.19</v>
      </c>
      <c r="T711" s="7" t="str">
        <f>IF(AllDataApr[[#This Row],[Phosphate (PPM)]]&gt;0.5, "Very high", IF(AllDataApr[[#This Row],[Phosphate (PPM)]]&gt;0.1, "High", IF(AllDataApr[[#This Row],[Phosphate (PPM)]]&gt;0.05, "Some evidence", IF(AllDataApr[[#This Row],[Phosphate (PPM)]]=0, ""))))</f>
        <v>High</v>
      </c>
      <c r="U711">
        <v>0.6</v>
      </c>
    </row>
    <row r="712" spans="1:22" x14ac:dyDescent="0.3">
      <c r="A712" t="s">
        <v>1142</v>
      </c>
      <c r="B712" s="2">
        <v>45433</v>
      </c>
      <c r="C712" s="2" t="str" cm="1">
        <f t="array" ref="C71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12">
        <f>YEAR(AllDataApr[[#This Row],[Date]])</f>
        <v>2024</v>
      </c>
      <c r="E712" s="1">
        <v>0.60833333333333328</v>
      </c>
      <c r="F712" s="2" t="str">
        <f>IF(AND(AllDataApr[[#This Row],[Time]]&lt;0.5, AllDataApr[[#This Row],[Time]]&gt;0.17)=TRUE, "Morning", IF(AND(AllDataApr[[#This Row],[Time]]&lt;0.75, AllDataApr[[#This Row],[Time]]&gt;=0.5)=TRUE, "Afternoon", IF(AND(AllDataApr[[#This Row],[Time]]&lt;1, AllDataApr[[#This Row],[Time]]&gt;=0.75)=TRUE, "Evening", "Night")))</f>
        <v>Afternoon</v>
      </c>
      <c r="G712" t="s">
        <v>274</v>
      </c>
      <c r="H712" t="str">
        <f>_xlfn.XLOOKUP(AllDataApr[[#This Row],[Location Name]], Locations[Row Labels],Locations[Group As])</f>
        <v>Abbey Mill</v>
      </c>
      <c r="I712" t="str">
        <f>_xlfn.XLOOKUP(AllDataApr[[#This Row],[Site Name]],LocationsKey[Site Name],LocationsKey[Region])</f>
        <v>Tewkesbury</v>
      </c>
      <c r="J712" t="str">
        <f>_xlfn.XLOOKUP(AllDataApr[[#This Row],[Site Name]],LocationsKey[Site Name], LocationsKey[Waterway])</f>
        <v>Avon</v>
      </c>
      <c r="K712" t="s">
        <v>13</v>
      </c>
      <c r="L712">
        <v>51.991301</v>
      </c>
      <c r="M712">
        <v>-2.1627369999999999</v>
      </c>
      <c r="N712" t="s">
        <v>1270</v>
      </c>
      <c r="O712" s="7">
        <v>977</v>
      </c>
      <c r="P712">
        <v>18.5</v>
      </c>
      <c r="Q712" s="7">
        <v>7</v>
      </c>
      <c r="R712" s="7" t="str">
        <f>IF(AllDataApr[[#This Row],[Nitrate (PPM)]]&gt;2, "Very high", IF(AllDataApr[[#This Row],[Nitrate (PPM)]]&gt;1, "High", IF(AllDataApr[[#This Row],[Nitrate (PPM)]]&gt;0.5, "Some evidence", IF(AllDataApr[[#This Row],[Nitrate (PPM)]]&gt;0, "No evidence", IF(AllDataApr[[#This Row],[Nitrate (PPM)]]=0, "")))))</f>
        <v>Very high</v>
      </c>
      <c r="S712" s="7">
        <v>0.67</v>
      </c>
      <c r="T712" s="7" t="str">
        <f>IF(AllDataApr[[#This Row],[Phosphate (PPM)]]&gt;0.5, "Very high", IF(AllDataApr[[#This Row],[Phosphate (PPM)]]&gt;0.1, "High", IF(AllDataApr[[#This Row],[Phosphate (PPM)]]&gt;0.05, "Some evidence", IF(AllDataApr[[#This Row],[Phosphate (PPM)]]=0, ""))))</f>
        <v>Very high</v>
      </c>
      <c r="U712">
        <v>0.6</v>
      </c>
    </row>
    <row r="713" spans="1:22" x14ac:dyDescent="0.3">
      <c r="A713" t="s">
        <v>1140</v>
      </c>
      <c r="B713" s="2">
        <v>45434</v>
      </c>
      <c r="C713" s="2" t="str" cm="1">
        <f t="array" ref="C71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13">
        <f>YEAR(AllDataApr[[#This Row],[Date]])</f>
        <v>2024</v>
      </c>
      <c r="E713" s="1">
        <v>0.68125000000000002</v>
      </c>
      <c r="F713" s="2" t="str">
        <f>IF(AND(AllDataApr[[#This Row],[Time]]&lt;0.5, AllDataApr[[#This Row],[Time]]&gt;0.17)=TRUE, "Morning", IF(AND(AllDataApr[[#This Row],[Time]]&lt;0.75, AllDataApr[[#This Row],[Time]]&gt;=0.5)=TRUE, "Afternoon", IF(AND(AllDataApr[[#This Row],[Time]]&lt;1, AllDataApr[[#This Row],[Time]]&gt;=0.75)=TRUE, "Evening", "Night")))</f>
        <v>Afternoon</v>
      </c>
      <c r="G713" t="s">
        <v>129</v>
      </c>
      <c r="H713" t="str">
        <f>_xlfn.XLOOKUP(AllDataApr[[#This Row],[Location Name]], Locations[Row Labels],Locations[Group As])</f>
        <v>Alveston Weir</v>
      </c>
      <c r="I713" t="str">
        <f>_xlfn.XLOOKUP(AllDataApr[[#This Row],[Site Name]],LocationsKey[Site Name],LocationsKey[Region])</f>
        <v>Stratford</v>
      </c>
      <c r="J713" t="str">
        <f>_xlfn.XLOOKUP(AllDataApr[[#This Row],[Site Name]],LocationsKey[Site Name], LocationsKey[Waterway])</f>
        <v>Avon</v>
      </c>
      <c r="K713" t="s">
        <v>128</v>
      </c>
      <c r="L713">
        <v>52.212288999999998</v>
      </c>
      <c r="M713">
        <v>-1.660452</v>
      </c>
      <c r="N713" t="s">
        <v>1270</v>
      </c>
      <c r="O713" s="7">
        <v>571</v>
      </c>
      <c r="P713">
        <v>16</v>
      </c>
      <c r="Q713" s="7">
        <v>5</v>
      </c>
      <c r="R713" s="7" t="str">
        <f>IF(AllDataApr[[#This Row],[Nitrate (PPM)]]&gt;2, "Very high", IF(AllDataApr[[#This Row],[Nitrate (PPM)]]&gt;1, "High", IF(AllDataApr[[#This Row],[Nitrate (PPM)]]&gt;0.5, "Some evidence", IF(AllDataApr[[#This Row],[Nitrate (PPM)]]&gt;0, "No evidence", IF(AllDataApr[[#This Row],[Nitrate (PPM)]]=0, "")))))</f>
        <v>Very high</v>
      </c>
      <c r="S713" s="7">
        <v>0.65</v>
      </c>
      <c r="T713" s="7" t="str">
        <f>IF(AllDataApr[[#This Row],[Phosphate (PPM)]]&gt;0.5, "Very high", IF(AllDataApr[[#This Row],[Phosphate (PPM)]]&gt;0.1, "High", IF(AllDataApr[[#This Row],[Phosphate (PPM)]]&gt;0.05, "Some evidence", IF(AllDataApr[[#This Row],[Phosphate (PPM)]]=0, ""))))</f>
        <v>Very high</v>
      </c>
      <c r="U713">
        <v>1.75</v>
      </c>
      <c r="V713" t="s">
        <v>1281</v>
      </c>
    </row>
    <row r="714" spans="1:22" x14ac:dyDescent="0.3">
      <c r="A714" t="s">
        <v>1126</v>
      </c>
      <c r="B714" s="2">
        <v>45435</v>
      </c>
      <c r="C714" s="2" t="str" cm="1">
        <f t="array" ref="C71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14">
        <f>YEAR(AllDataApr[[#This Row],[Date]])</f>
        <v>2024</v>
      </c>
      <c r="E714" s="1">
        <v>0.4375</v>
      </c>
      <c r="F714" s="2" t="str">
        <f>IF(AND(AllDataApr[[#This Row],[Time]]&lt;0.5, AllDataApr[[#This Row],[Time]]&gt;0.17)=TRUE, "Morning", IF(AND(AllDataApr[[#This Row],[Time]]&lt;0.75, AllDataApr[[#This Row],[Time]]&gt;=0.5)=TRUE, "Afternoon", IF(AND(AllDataApr[[#This Row],[Time]]&lt;1, AllDataApr[[#This Row],[Time]]&gt;=0.75)=TRUE, "Evening", "Night")))</f>
        <v>Morning</v>
      </c>
      <c r="G714" t="s">
        <v>46</v>
      </c>
      <c r="H714" t="str">
        <f>_xlfn.XLOOKUP(AllDataApr[[#This Row],[Location Name]], Locations[Row Labels],Locations[Group As])</f>
        <v>Swilgate</v>
      </c>
      <c r="I714" t="str">
        <f>_xlfn.XLOOKUP(AllDataApr[[#This Row],[Site Name]],LocationsKey[Site Name],LocationsKey[Region])</f>
        <v>Tewkesbury</v>
      </c>
      <c r="J714" t="str">
        <f>_xlfn.XLOOKUP(AllDataApr[[#This Row],[Site Name]],LocationsKey[Site Name], LocationsKey[Waterway])</f>
        <v>Swilgate</v>
      </c>
      <c r="K714" t="s">
        <v>47</v>
      </c>
      <c r="N714" t="s">
        <v>14</v>
      </c>
      <c r="O714" s="7">
        <v>607</v>
      </c>
      <c r="P714">
        <v>14.6</v>
      </c>
      <c r="Q714" s="7">
        <v>5</v>
      </c>
      <c r="R714" s="7" t="str">
        <f>IF(AllDataApr[[#This Row],[Nitrate (PPM)]]&gt;2, "Very high", IF(AllDataApr[[#This Row],[Nitrate (PPM)]]&gt;1, "High", IF(AllDataApr[[#This Row],[Nitrate (PPM)]]&gt;0.5, "Some evidence", IF(AllDataApr[[#This Row],[Nitrate (PPM)]]&gt;0, "No evidence", IF(AllDataApr[[#This Row],[Nitrate (PPM)]]=0, "")))))</f>
        <v>Very high</v>
      </c>
      <c r="S714" s="7">
        <v>0.47</v>
      </c>
      <c r="T714" s="7" t="str">
        <f>IF(AllDataApr[[#This Row],[Phosphate (PPM)]]&gt;0.5, "Very high", IF(AllDataApr[[#This Row],[Phosphate (PPM)]]&gt;0.1, "High", IF(AllDataApr[[#This Row],[Phosphate (PPM)]]&gt;0.05, "Some evidence", IF(AllDataApr[[#This Row],[Phosphate (PPM)]]=0, ""))))</f>
        <v>High</v>
      </c>
      <c r="U714">
        <v>0</v>
      </c>
    </row>
    <row r="715" spans="1:22" x14ac:dyDescent="0.3">
      <c r="A715" t="s">
        <v>1127</v>
      </c>
      <c r="B715" s="2">
        <v>45435</v>
      </c>
      <c r="C715" s="2" t="str" cm="1">
        <f t="array" ref="C71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15">
        <f>YEAR(AllDataApr[[#This Row],[Date]])</f>
        <v>2024</v>
      </c>
      <c r="E715" s="1">
        <v>0.45694444444444443</v>
      </c>
      <c r="F715" s="2" t="str">
        <f>IF(AND(AllDataApr[[#This Row],[Time]]&lt;0.5, AllDataApr[[#This Row],[Time]]&gt;0.17)=TRUE, "Morning", IF(AND(AllDataApr[[#This Row],[Time]]&lt;0.75, AllDataApr[[#This Row],[Time]]&gt;=0.5)=TRUE, "Afternoon", IF(AND(AllDataApr[[#This Row],[Time]]&lt;1, AllDataApr[[#This Row],[Time]]&gt;=0.75)=TRUE, "Evening", "Night")))</f>
        <v>Morning</v>
      </c>
      <c r="G715" t="s">
        <v>59</v>
      </c>
      <c r="H715" t="str">
        <f>_xlfn.XLOOKUP(AllDataApr[[#This Row],[Location Name]], Locations[Row Labels],Locations[Group As])</f>
        <v>Preston-on-Stour River Bridge</v>
      </c>
      <c r="I715" t="str">
        <f>_xlfn.XLOOKUP(AllDataApr[[#This Row],[Site Name]],LocationsKey[Site Name],LocationsKey[Region])</f>
        <v>Stratford</v>
      </c>
      <c r="J715" t="str">
        <f>_xlfn.XLOOKUP(AllDataApr[[#This Row],[Site Name]],LocationsKey[Site Name], LocationsKey[Waterway])</f>
        <v>Stour</v>
      </c>
      <c r="K715" t="s">
        <v>78</v>
      </c>
      <c r="L715">
        <v>52.146552</v>
      </c>
      <c r="M715">
        <v>-1.6998120000000001</v>
      </c>
      <c r="N715" t="s">
        <v>18</v>
      </c>
      <c r="O715" s="7">
        <v>687</v>
      </c>
      <c r="P715">
        <v>15.9</v>
      </c>
      <c r="Q715" s="7">
        <v>6</v>
      </c>
      <c r="R715" s="7" t="str">
        <f>IF(AllDataApr[[#This Row],[Nitrate (PPM)]]&gt;2, "Very high", IF(AllDataApr[[#This Row],[Nitrate (PPM)]]&gt;1, "High", IF(AllDataApr[[#This Row],[Nitrate (PPM)]]&gt;0.5, "Some evidence", IF(AllDataApr[[#This Row],[Nitrate (PPM)]]&gt;0, "No evidence", IF(AllDataApr[[#This Row],[Nitrate (PPM)]]=0, "")))))</f>
        <v>Very high</v>
      </c>
      <c r="S715" s="7">
        <v>0.35</v>
      </c>
      <c r="T715" s="7" t="str">
        <f>IF(AllDataApr[[#This Row],[Phosphate (PPM)]]&gt;0.5, "Very high", IF(AllDataApr[[#This Row],[Phosphate (PPM)]]&gt;0.1, "High", IF(AllDataApr[[#This Row],[Phosphate (PPM)]]&gt;0.05, "Some evidence", IF(AllDataApr[[#This Row],[Phosphate (PPM)]]=0, ""))))</f>
        <v>High</v>
      </c>
      <c r="U715">
        <v>1.5</v>
      </c>
    </row>
    <row r="716" spans="1:22" x14ac:dyDescent="0.3">
      <c r="A716" t="s">
        <v>1123</v>
      </c>
      <c r="B716" s="2">
        <v>45435</v>
      </c>
      <c r="C716" s="2" t="str" cm="1">
        <f t="array" ref="C71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16">
        <f>YEAR(AllDataApr[[#This Row],[Date]])</f>
        <v>2024</v>
      </c>
      <c r="E716" s="1">
        <v>0.54166666666666663</v>
      </c>
      <c r="F716" s="2" t="str">
        <f>IF(AND(AllDataApr[[#This Row],[Time]]&lt;0.5, AllDataApr[[#This Row],[Time]]&gt;0.17)=TRUE, "Morning", IF(AND(AllDataApr[[#This Row],[Time]]&lt;0.75, AllDataApr[[#This Row],[Time]]&gt;=0.5)=TRUE, "Afternoon", IF(AND(AllDataApr[[#This Row],[Time]]&lt;1, AllDataApr[[#This Row],[Time]]&gt;=0.75)=TRUE, "Evening", "Night")))</f>
        <v>Afternoon</v>
      </c>
      <c r="G716" t="s">
        <v>220</v>
      </c>
      <c r="H716" t="str">
        <f>_xlfn.XLOOKUP(AllDataApr[[#This Row],[Location Name]], Locations[Row Labels],Locations[Group As])</f>
        <v>Stour Willington</v>
      </c>
      <c r="I716" t="str">
        <f>_xlfn.XLOOKUP(AllDataApr[[#This Row],[Site Name]],LocationsKey[Site Name],LocationsKey[Region])</f>
        <v>Shipston</v>
      </c>
      <c r="J716" t="str">
        <f>_xlfn.XLOOKUP(AllDataApr[[#This Row],[Site Name]],LocationsKey[Site Name], LocationsKey[Waterway])</f>
        <v>Stour</v>
      </c>
      <c r="K716" t="s">
        <v>197</v>
      </c>
      <c r="L716">
        <v>52.053552000000003</v>
      </c>
      <c r="M716">
        <v>-1.6201319999999999</v>
      </c>
      <c r="N716" t="s">
        <v>14</v>
      </c>
      <c r="O716" s="7">
        <v>534</v>
      </c>
      <c r="P716">
        <v>14.1</v>
      </c>
      <c r="Q716" s="7">
        <v>5</v>
      </c>
      <c r="R716" s="7" t="str">
        <f>IF(AllDataApr[[#This Row],[Nitrate (PPM)]]&gt;2, "Very high", IF(AllDataApr[[#This Row],[Nitrate (PPM)]]&gt;1, "High", IF(AllDataApr[[#This Row],[Nitrate (PPM)]]&gt;0.5, "Some evidence", IF(AllDataApr[[#This Row],[Nitrate (PPM)]]&gt;0, "No evidence", IF(AllDataApr[[#This Row],[Nitrate (PPM)]]=0, "")))))</f>
        <v>Very high</v>
      </c>
      <c r="S716" s="7">
        <v>0.32</v>
      </c>
      <c r="T716" s="7" t="str">
        <f>IF(AllDataApr[[#This Row],[Phosphate (PPM)]]&gt;0.5, "Very high", IF(AllDataApr[[#This Row],[Phosphate (PPM)]]&gt;0.1, "High", IF(AllDataApr[[#This Row],[Phosphate (PPM)]]&gt;0.05, "Some evidence", IF(AllDataApr[[#This Row],[Phosphate (PPM)]]=0, ""))))</f>
        <v>High</v>
      </c>
      <c r="U716">
        <v>0.5</v>
      </c>
      <c r="V716" t="s">
        <v>1276</v>
      </c>
    </row>
    <row r="717" spans="1:22" x14ac:dyDescent="0.3">
      <c r="A717" t="s">
        <v>1133</v>
      </c>
      <c r="B717" s="2">
        <v>45436</v>
      </c>
      <c r="C717" s="2" t="str" cm="1">
        <f t="array" ref="C71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17">
        <f>YEAR(AllDataApr[[#This Row],[Date]])</f>
        <v>2024</v>
      </c>
      <c r="E717" s="1">
        <v>0.59027777777777779</v>
      </c>
      <c r="F717" s="2" t="str">
        <f>IF(AND(AllDataApr[[#This Row],[Time]]&lt;0.5, AllDataApr[[#This Row],[Time]]&gt;0.17)=TRUE, "Morning", IF(AND(AllDataApr[[#This Row],[Time]]&lt;0.75, AllDataApr[[#This Row],[Time]]&gt;=0.5)=TRUE, "Afternoon", IF(AND(AllDataApr[[#This Row],[Time]]&lt;1, AllDataApr[[#This Row],[Time]]&gt;=0.75)=TRUE, "Evening", "Night")))</f>
        <v>Afternoon</v>
      </c>
      <c r="G717" t="s">
        <v>127</v>
      </c>
      <c r="H717" t="str">
        <f>_xlfn.XLOOKUP(AllDataApr[[#This Row],[Location Name]], Locations[Row Labels],Locations[Group As])</f>
        <v>Swiffen Bank</v>
      </c>
      <c r="I717" t="str">
        <f>_xlfn.XLOOKUP(AllDataApr[[#This Row],[Site Name]],LocationsKey[Site Name],LocationsKey[Region])</f>
        <v>Stratford</v>
      </c>
      <c r="J717" t="str">
        <f>_xlfn.XLOOKUP(AllDataApr[[#This Row],[Site Name]],LocationsKey[Site Name], LocationsKey[Waterway])</f>
        <v>Avon</v>
      </c>
      <c r="K717" t="s">
        <v>130</v>
      </c>
      <c r="L717">
        <v>52.206477999999997</v>
      </c>
      <c r="M717">
        <v>-1.653894</v>
      </c>
      <c r="N717" t="s">
        <v>18</v>
      </c>
      <c r="O717" s="7">
        <v>540</v>
      </c>
      <c r="P717">
        <v>17</v>
      </c>
      <c r="Q717" s="7">
        <v>10</v>
      </c>
      <c r="R717" s="7" t="str">
        <f>IF(AllDataApr[[#This Row],[Nitrate (PPM)]]&gt;2, "Very high", IF(AllDataApr[[#This Row],[Nitrate (PPM)]]&gt;1, "High", IF(AllDataApr[[#This Row],[Nitrate (PPM)]]&gt;0.5, "Some evidence", IF(AllDataApr[[#This Row],[Nitrate (PPM)]]&gt;0, "No evidence", IF(AllDataApr[[#This Row],[Nitrate (PPM)]]=0, "")))))</f>
        <v>Very high</v>
      </c>
      <c r="S717" s="7">
        <v>0.64</v>
      </c>
      <c r="T717" s="7" t="str">
        <f>IF(AllDataApr[[#This Row],[Phosphate (PPM)]]&gt;0.5, "Very high", IF(AllDataApr[[#This Row],[Phosphate (PPM)]]&gt;0.1, "High", IF(AllDataApr[[#This Row],[Phosphate (PPM)]]&gt;0.05, "Some evidence", IF(AllDataApr[[#This Row],[Phosphate (PPM)]]=0, ""))))</f>
        <v>Very high</v>
      </c>
      <c r="U717">
        <v>1</v>
      </c>
      <c r="V717" t="s">
        <v>1278</v>
      </c>
    </row>
    <row r="718" spans="1:22" x14ac:dyDescent="0.3">
      <c r="A718" t="s">
        <v>1137</v>
      </c>
      <c r="B718" s="2">
        <v>45437</v>
      </c>
      <c r="C718" s="2" t="str" cm="1">
        <f t="array" ref="C71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18">
        <f>YEAR(AllDataApr[[#This Row],[Date]])</f>
        <v>2024</v>
      </c>
      <c r="E718" s="1">
        <v>0.39652777777777776</v>
      </c>
      <c r="F718" s="2" t="str">
        <f>IF(AND(AllDataApr[[#This Row],[Time]]&lt;0.5, AllDataApr[[#This Row],[Time]]&gt;0.17)=TRUE, "Morning", IF(AND(AllDataApr[[#This Row],[Time]]&lt;0.75, AllDataApr[[#This Row],[Time]]&gt;=0.5)=TRUE, "Afternoon", IF(AND(AllDataApr[[#This Row],[Time]]&lt;1, AllDataApr[[#This Row],[Time]]&gt;=0.75)=TRUE, "Evening", "Night")))</f>
        <v>Morning</v>
      </c>
      <c r="G718" t="s">
        <v>221</v>
      </c>
      <c r="H718" t="str">
        <f>_xlfn.XLOOKUP(AllDataApr[[#This Row],[Location Name]], Locations[Row Labels],Locations[Group As])</f>
        <v>Lower Lode</v>
      </c>
      <c r="I718" t="str">
        <f>_xlfn.XLOOKUP(AllDataApr[[#This Row],[Site Name]],LocationsKey[Site Name],LocationsKey[Region])</f>
        <v>Tewkesbury</v>
      </c>
      <c r="J718" t="str">
        <f>_xlfn.XLOOKUP(AllDataApr[[#This Row],[Site Name]],LocationsKey[Site Name], LocationsKey[Waterway])</f>
        <v>Avon</v>
      </c>
      <c r="K718" t="s">
        <v>234</v>
      </c>
      <c r="L718">
        <v>51.985076999999997</v>
      </c>
      <c r="M718">
        <v>-2.174258</v>
      </c>
      <c r="N718" t="s">
        <v>18</v>
      </c>
      <c r="O718" s="7">
        <v>6800</v>
      </c>
      <c r="P718">
        <v>16.100000000000001</v>
      </c>
      <c r="Q718" s="7">
        <v>10</v>
      </c>
      <c r="R718" s="7" t="str">
        <f>IF(AllDataApr[[#This Row],[Nitrate (PPM)]]&gt;2, "Very high", IF(AllDataApr[[#This Row],[Nitrate (PPM)]]&gt;1, "High", IF(AllDataApr[[#This Row],[Nitrate (PPM)]]&gt;0.5, "Some evidence", IF(AllDataApr[[#This Row],[Nitrate (PPM)]]&gt;0, "No evidence", IF(AllDataApr[[#This Row],[Nitrate (PPM)]]=0, "")))))</f>
        <v>Very high</v>
      </c>
      <c r="S718" s="7">
        <v>0.48</v>
      </c>
      <c r="T718" s="7" t="str">
        <f>IF(AllDataApr[[#This Row],[Phosphate (PPM)]]&gt;0.5, "Very high", IF(AllDataApr[[#This Row],[Phosphate (PPM)]]&gt;0.1, "High", IF(AllDataApr[[#This Row],[Phosphate (PPM)]]&gt;0.05, "Some evidence", IF(AllDataApr[[#This Row],[Phosphate (PPM)]]=0, ""))))</f>
        <v>High</v>
      </c>
      <c r="U718">
        <v>2</v>
      </c>
    </row>
    <row r="719" spans="1:22" x14ac:dyDescent="0.3">
      <c r="A719" t="s">
        <v>1136</v>
      </c>
      <c r="B719" s="2">
        <v>45437</v>
      </c>
      <c r="C719" s="2" t="str" cm="1">
        <f t="array" ref="C71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19">
        <f>YEAR(AllDataApr[[#This Row],[Date]])</f>
        <v>2024</v>
      </c>
      <c r="E719" s="1">
        <v>0.43541666666666667</v>
      </c>
      <c r="F719" s="2" t="str">
        <f>IF(AND(AllDataApr[[#This Row],[Time]]&lt;0.5, AllDataApr[[#This Row],[Time]]&gt;0.17)=TRUE, "Morning", IF(AND(AllDataApr[[#This Row],[Time]]&lt;0.75, AllDataApr[[#This Row],[Time]]&gt;=0.5)=TRUE, "Afternoon", IF(AND(AllDataApr[[#This Row],[Time]]&lt;1, AllDataApr[[#This Row],[Time]]&gt;=0.75)=TRUE, "Evening", "Night")))</f>
        <v>Morning</v>
      </c>
      <c r="G719" t="s">
        <v>1256</v>
      </c>
      <c r="H719" t="str">
        <f>_xlfn.XLOOKUP(AllDataApr[[#This Row],[Location Name]], Locations[Row Labels],Locations[Group As])</f>
        <v>Avon Smiths Meadow Wyre Piddle</v>
      </c>
      <c r="I719" t="str">
        <f>_xlfn.XLOOKUP(AllDataApr[[#This Row],[Site Name]],LocationsKey[Site Name],LocationsKey[Region])</f>
        <v>Pershore</v>
      </c>
      <c r="J719" t="str">
        <f>_xlfn.XLOOKUP(AllDataApr[[#This Row],[Site Name]],LocationsKey[Site Name], LocationsKey[Waterway])</f>
        <v>Avon</v>
      </c>
      <c r="K719" t="s">
        <v>909</v>
      </c>
      <c r="L719">
        <v>52.122926999999997</v>
      </c>
      <c r="M719">
        <v>-2.057528</v>
      </c>
      <c r="N719" t="s">
        <v>14</v>
      </c>
      <c r="O719" s="7">
        <v>633</v>
      </c>
      <c r="P719">
        <v>16.2</v>
      </c>
      <c r="Q719" s="7">
        <v>6</v>
      </c>
      <c r="R719" s="7" t="str">
        <f>IF(AllDataApr[[#This Row],[Nitrate (PPM)]]&gt;2, "Very high", IF(AllDataApr[[#This Row],[Nitrate (PPM)]]&gt;1, "High", IF(AllDataApr[[#This Row],[Nitrate (PPM)]]&gt;0.5, "Some evidence", IF(AllDataApr[[#This Row],[Nitrate (PPM)]]&gt;0, "No evidence", IF(AllDataApr[[#This Row],[Nitrate (PPM)]]=0, "")))))</f>
        <v>Very high</v>
      </c>
      <c r="S719" s="7">
        <v>0.56999999999999995</v>
      </c>
      <c r="T719" s="7" t="str">
        <f>IF(AllDataApr[[#This Row],[Phosphate (PPM)]]&gt;0.5, "Very high", IF(AllDataApr[[#This Row],[Phosphate (PPM)]]&gt;0.1, "High", IF(AllDataApr[[#This Row],[Phosphate (PPM)]]&gt;0.05, "Some evidence", IF(AllDataApr[[#This Row],[Phosphate (PPM)]]=0, ""))))</f>
        <v>Very high</v>
      </c>
      <c r="U719">
        <v>0.9</v>
      </c>
      <c r="V719" t="s">
        <v>1280</v>
      </c>
    </row>
    <row r="720" spans="1:22" x14ac:dyDescent="0.3">
      <c r="A720" t="s">
        <v>1135</v>
      </c>
      <c r="B720" s="2">
        <v>45437</v>
      </c>
      <c r="C720" s="2" t="str" cm="1">
        <f t="array" ref="C72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20">
        <f>YEAR(AllDataApr[[#This Row],[Date]])</f>
        <v>2024</v>
      </c>
      <c r="E720" s="1">
        <v>0.46388888888888891</v>
      </c>
      <c r="F720" s="2" t="str">
        <f>IF(AND(AllDataApr[[#This Row],[Time]]&lt;0.5, AllDataApr[[#This Row],[Time]]&gt;0.17)=TRUE, "Morning", IF(AND(AllDataApr[[#This Row],[Time]]&lt;0.75, AllDataApr[[#This Row],[Time]]&gt;=0.5)=TRUE, "Afternoon", IF(AND(AllDataApr[[#This Row],[Time]]&lt;1, AllDataApr[[#This Row],[Time]]&gt;=0.75)=TRUE, "Evening", "Night")))</f>
        <v>Morning</v>
      </c>
      <c r="G720" t="s">
        <v>1255</v>
      </c>
      <c r="H720" t="str">
        <f>_xlfn.XLOOKUP(AllDataApr[[#This Row],[Location Name]], Locations[Row Labels],Locations[Group As])</f>
        <v>Piddle Brook Wyre Piddle Bridge</v>
      </c>
      <c r="I720" t="str">
        <f>_xlfn.XLOOKUP(AllDataApr[[#This Row],[Site Name]],LocationsKey[Site Name],LocationsKey[Region])</f>
        <v>Pershore</v>
      </c>
      <c r="J720" t="str">
        <f>_xlfn.XLOOKUP(AllDataApr[[#This Row],[Site Name]],LocationsKey[Site Name], LocationsKey[Waterway])</f>
        <v>Piddle Brook</v>
      </c>
      <c r="K720" t="s">
        <v>908</v>
      </c>
      <c r="L720">
        <v>52.126448000000003</v>
      </c>
      <c r="M720">
        <v>-2.056457</v>
      </c>
      <c r="N720" t="s">
        <v>14</v>
      </c>
      <c r="O720" s="7">
        <v>1120</v>
      </c>
      <c r="P720">
        <v>14.2</v>
      </c>
      <c r="Q720" s="7">
        <v>10</v>
      </c>
      <c r="R720" s="7" t="str">
        <f>IF(AllDataApr[[#This Row],[Nitrate (PPM)]]&gt;2, "Very high", IF(AllDataApr[[#This Row],[Nitrate (PPM)]]&gt;1, "High", IF(AllDataApr[[#This Row],[Nitrate (PPM)]]&gt;0.5, "Some evidence", IF(AllDataApr[[#This Row],[Nitrate (PPM)]]&gt;0, "No evidence", IF(AllDataApr[[#This Row],[Nitrate (PPM)]]=0, "")))))</f>
        <v>Very high</v>
      </c>
      <c r="S720" s="7">
        <v>0.64</v>
      </c>
      <c r="T720" s="7" t="str">
        <f>IF(AllDataApr[[#This Row],[Phosphate (PPM)]]&gt;0.5, "Very high", IF(AllDataApr[[#This Row],[Phosphate (PPM)]]&gt;0.1, "High", IF(AllDataApr[[#This Row],[Phosphate (PPM)]]&gt;0.05, "Some evidence", IF(AllDataApr[[#This Row],[Phosphate (PPM)]]=0, ""))))</f>
        <v>Very high</v>
      </c>
      <c r="U720">
        <v>0.34</v>
      </c>
      <c r="V720" t="s">
        <v>1279</v>
      </c>
    </row>
    <row r="721" spans="1:22" x14ac:dyDescent="0.3">
      <c r="A721" t="s">
        <v>1134</v>
      </c>
      <c r="B721" s="2">
        <v>45437</v>
      </c>
      <c r="C721" s="2" t="str" cm="1">
        <f t="array" ref="C72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21">
        <f>YEAR(AllDataApr[[#This Row],[Date]])</f>
        <v>2024</v>
      </c>
      <c r="E721" s="1">
        <v>0.5</v>
      </c>
      <c r="F721" s="2" t="str">
        <f>IF(AND(AllDataApr[[#This Row],[Time]]&lt;0.5, AllDataApr[[#This Row],[Time]]&gt;0.17)=TRUE, "Morning", IF(AND(AllDataApr[[#This Row],[Time]]&lt;0.75, AllDataApr[[#This Row],[Time]]&gt;=0.5)=TRUE, "Afternoon", IF(AND(AllDataApr[[#This Row],[Time]]&lt;1, AllDataApr[[#This Row],[Time]]&gt;=0.75)=TRUE, "Evening", "Night")))</f>
        <v>Afternoon</v>
      </c>
      <c r="G721" t="s">
        <v>52</v>
      </c>
      <c r="H721" t="str">
        <f>_xlfn.XLOOKUP(AllDataApr[[#This Row],[Location Name]], Locations[Row Labels],Locations[Group As])</f>
        <v>Carrant Bredon Rd</v>
      </c>
      <c r="I721" t="str">
        <f>_xlfn.XLOOKUP(AllDataApr[[#This Row],[Site Name]],LocationsKey[Site Name],LocationsKey[Region])</f>
        <v>Tewkesbury</v>
      </c>
      <c r="J721" t="str">
        <f>_xlfn.XLOOKUP(AllDataApr[[#This Row],[Site Name]],LocationsKey[Site Name], LocationsKey[Waterway])</f>
        <v>Carrant</v>
      </c>
      <c r="K721" t="s">
        <v>179</v>
      </c>
      <c r="L721">
        <v>51.996152000000002</v>
      </c>
      <c r="M721">
        <v>-2.1559210000000002</v>
      </c>
      <c r="N721" t="s">
        <v>200</v>
      </c>
      <c r="O721" s="7">
        <v>651</v>
      </c>
      <c r="P721">
        <v>14</v>
      </c>
      <c r="Q721" s="7">
        <v>5</v>
      </c>
      <c r="R721" s="7" t="str">
        <f>IF(AllDataApr[[#This Row],[Nitrate (PPM)]]&gt;2, "Very high", IF(AllDataApr[[#This Row],[Nitrate (PPM)]]&gt;1, "High", IF(AllDataApr[[#This Row],[Nitrate (PPM)]]&gt;0.5, "Some evidence", IF(AllDataApr[[#This Row],[Nitrate (PPM)]]&gt;0, "No evidence", IF(AllDataApr[[#This Row],[Nitrate (PPM)]]=0, "")))))</f>
        <v>Very high</v>
      </c>
      <c r="S721" s="7">
        <v>0.33</v>
      </c>
      <c r="T721" s="7" t="str">
        <f>IF(AllDataApr[[#This Row],[Phosphate (PPM)]]&gt;0.5, "Very high", IF(AllDataApr[[#This Row],[Phosphate (PPM)]]&gt;0.1, "High", IF(AllDataApr[[#This Row],[Phosphate (PPM)]]&gt;0.05, "Some evidence", IF(AllDataApr[[#This Row],[Phosphate (PPM)]]=0, ""))))</f>
        <v>High</v>
      </c>
      <c r="U721">
        <v>0</v>
      </c>
    </row>
    <row r="722" spans="1:22" x14ac:dyDescent="0.3">
      <c r="A722" t="s">
        <v>1119</v>
      </c>
      <c r="B722" s="2">
        <v>45438</v>
      </c>
      <c r="C722" s="2" t="str" cm="1">
        <f t="array" ref="C72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22">
        <f>YEAR(AllDataApr[[#This Row],[Date]])</f>
        <v>2024</v>
      </c>
      <c r="E722" s="1">
        <v>0.45833333333333331</v>
      </c>
      <c r="F722" s="2" t="str">
        <f>IF(AND(AllDataApr[[#This Row],[Time]]&lt;0.5, AllDataApr[[#This Row],[Time]]&gt;0.17)=TRUE, "Morning", IF(AND(AllDataApr[[#This Row],[Time]]&lt;0.75, AllDataApr[[#This Row],[Time]]&gt;=0.5)=TRUE, "Afternoon", IF(AND(AllDataApr[[#This Row],[Time]]&lt;1, AllDataApr[[#This Row],[Time]]&gt;=0.75)=TRUE, "Evening", "Night")))</f>
        <v>Morning</v>
      </c>
      <c r="G722" t="s">
        <v>1253</v>
      </c>
      <c r="H722" t="str">
        <f>_xlfn.XLOOKUP(AllDataApr[[#This Row],[Location Name]], Locations[Row Labels],Locations[Group As])</f>
        <v>Avonbank Drive</v>
      </c>
      <c r="I722" t="str">
        <f>_xlfn.XLOOKUP(AllDataApr[[#This Row],[Site Name]],LocationsKey[Site Name],LocationsKey[Region])</f>
        <v>Stratford</v>
      </c>
      <c r="J722" t="str">
        <f>_xlfn.XLOOKUP(AllDataApr[[#This Row],[Site Name]],LocationsKey[Site Name], LocationsKey[Waterway])</f>
        <v>Avon</v>
      </c>
      <c r="K722" t="s">
        <v>71</v>
      </c>
      <c r="L722">
        <v>43.328878000000003</v>
      </c>
      <c r="M722">
        <v>-81.129401000000001</v>
      </c>
      <c r="N722" t="s">
        <v>42</v>
      </c>
      <c r="O722" s="7">
        <v>802</v>
      </c>
      <c r="P722">
        <v>21.3</v>
      </c>
      <c r="Q722" s="7">
        <v>5</v>
      </c>
      <c r="R722" s="7" t="str">
        <f>IF(AllDataApr[[#This Row],[Nitrate (PPM)]]&gt;2, "Very high", IF(AllDataApr[[#This Row],[Nitrate (PPM)]]&gt;1, "High", IF(AllDataApr[[#This Row],[Nitrate (PPM)]]&gt;0.5, "Some evidence", IF(AllDataApr[[#This Row],[Nitrate (PPM)]]&gt;0, "No evidence", IF(AllDataApr[[#This Row],[Nitrate (PPM)]]=0, "")))))</f>
        <v>Very high</v>
      </c>
      <c r="S722" s="7">
        <v>0.95</v>
      </c>
      <c r="T722" s="7" t="str">
        <f>IF(AllDataApr[[#This Row],[Phosphate (PPM)]]&gt;0.5, "Very high", IF(AllDataApr[[#This Row],[Phosphate (PPM)]]&gt;0.1, "High", IF(AllDataApr[[#This Row],[Phosphate (PPM)]]&gt;0.05, "Some evidence", IF(AllDataApr[[#This Row],[Phosphate (PPM)]]=0, ""))))</f>
        <v>Very high</v>
      </c>
      <c r="U722">
        <v>0.8</v>
      </c>
      <c r="V722" t="s">
        <v>1274</v>
      </c>
    </row>
    <row r="723" spans="1:22" x14ac:dyDescent="0.3">
      <c r="A723" t="s">
        <v>1120</v>
      </c>
      <c r="B723" s="2">
        <v>45438</v>
      </c>
      <c r="C723" s="2" t="str" cm="1">
        <f t="array" ref="C72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23">
        <f>YEAR(AllDataApr[[#This Row],[Date]])</f>
        <v>2024</v>
      </c>
      <c r="E723" s="1">
        <v>0.45833333333333331</v>
      </c>
      <c r="F723" s="2" t="str">
        <f>IF(AND(AllDataApr[[#This Row],[Time]]&lt;0.5, AllDataApr[[#This Row],[Time]]&gt;0.17)=TRUE, "Morning", IF(AND(AllDataApr[[#This Row],[Time]]&lt;0.75, AllDataApr[[#This Row],[Time]]&gt;=0.5)=TRUE, "Afternoon", IF(AND(AllDataApr[[#This Row],[Time]]&lt;1, AllDataApr[[#This Row],[Time]]&gt;=0.75)=TRUE, "Evening", "Night")))</f>
        <v>Morning</v>
      </c>
      <c r="G723" t="s">
        <v>1253</v>
      </c>
      <c r="H723" t="str">
        <f>_xlfn.XLOOKUP(AllDataApr[[#This Row],[Location Name]], Locations[Row Labels],Locations[Group As])</f>
        <v>Pitch 16</v>
      </c>
      <c r="I723" t="str">
        <f>_xlfn.XLOOKUP(AllDataApr[[#This Row],[Site Name]],LocationsKey[Site Name],LocationsKey[Region])</f>
        <v>Stratford</v>
      </c>
      <c r="J723" t="str">
        <f>_xlfn.XLOOKUP(AllDataApr[[#This Row],[Site Name]],LocationsKey[Site Name], LocationsKey[Waterway])</f>
        <v>Avon</v>
      </c>
      <c r="K723" t="s">
        <v>39</v>
      </c>
      <c r="L723">
        <v>50.831715000000003</v>
      </c>
      <c r="M723">
        <v>-0.306093</v>
      </c>
      <c r="N723" t="s">
        <v>18</v>
      </c>
      <c r="O723" s="7">
        <v>785</v>
      </c>
      <c r="P723">
        <v>22</v>
      </c>
      <c r="Q723" s="7">
        <v>5</v>
      </c>
      <c r="R723" s="7" t="str">
        <f>IF(AllDataApr[[#This Row],[Nitrate (PPM)]]&gt;2, "Very high", IF(AllDataApr[[#This Row],[Nitrate (PPM)]]&gt;1, "High", IF(AllDataApr[[#This Row],[Nitrate (PPM)]]&gt;0.5, "Some evidence", IF(AllDataApr[[#This Row],[Nitrate (PPM)]]&gt;0, "No evidence", IF(AllDataApr[[#This Row],[Nitrate (PPM)]]=0, "")))))</f>
        <v>Very high</v>
      </c>
      <c r="S723" s="7">
        <v>0.53</v>
      </c>
      <c r="T723" s="7" t="str">
        <f>IF(AllDataApr[[#This Row],[Phosphate (PPM)]]&gt;0.5, "Very high", IF(AllDataApr[[#This Row],[Phosphate (PPM)]]&gt;0.1, "High", IF(AllDataApr[[#This Row],[Phosphate (PPM)]]&gt;0.05, "Some evidence", IF(AllDataApr[[#This Row],[Phosphate (PPM)]]=0, ""))))</f>
        <v>Very high</v>
      </c>
      <c r="U723">
        <v>0.8</v>
      </c>
      <c r="V723" t="s">
        <v>1274</v>
      </c>
    </row>
    <row r="724" spans="1:22" x14ac:dyDescent="0.3">
      <c r="A724" t="s">
        <v>1132</v>
      </c>
      <c r="B724" s="2">
        <v>45439</v>
      </c>
      <c r="C724" s="2" t="str" cm="1">
        <f t="array" ref="C72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24">
        <f>YEAR(AllDataApr[[#This Row],[Date]])</f>
        <v>2024</v>
      </c>
      <c r="E724" s="1">
        <v>0.40486111111111112</v>
      </c>
      <c r="F724" s="2" t="str">
        <f>IF(AND(AllDataApr[[#This Row],[Time]]&lt;0.5, AllDataApr[[#This Row],[Time]]&gt;0.17)=TRUE, "Morning", IF(AND(AllDataApr[[#This Row],[Time]]&lt;0.75, AllDataApr[[#This Row],[Time]]&gt;=0.5)=TRUE, "Afternoon", IF(AND(AllDataApr[[#This Row],[Time]]&lt;1, AllDataApr[[#This Row],[Time]]&gt;=0.75)=TRUE, "Evening", "Night")))</f>
        <v>Morning</v>
      </c>
      <c r="G724" t="s">
        <v>11</v>
      </c>
      <c r="H724" t="str">
        <f>_xlfn.XLOOKUP(AllDataApr[[#This Row],[Location Name]], Locations[Row Labels],Locations[Group As])</f>
        <v>Carrant Mitton Path</v>
      </c>
      <c r="I724" t="str">
        <f>_xlfn.XLOOKUP(AllDataApr[[#This Row],[Site Name]],LocationsKey[Site Name],LocationsKey[Region])</f>
        <v>Tewkesbury</v>
      </c>
      <c r="J724" t="str">
        <f>_xlfn.XLOOKUP(AllDataApr[[#This Row],[Site Name]],LocationsKey[Site Name], LocationsKey[Waterway])</f>
        <v>Carrant</v>
      </c>
      <c r="K724" t="s">
        <v>914</v>
      </c>
      <c r="L724">
        <v>52.000115999999998</v>
      </c>
      <c r="M724">
        <v>-2.1419220000000001</v>
      </c>
      <c r="N724" t="s">
        <v>14</v>
      </c>
      <c r="O724" s="7">
        <v>698</v>
      </c>
      <c r="P724">
        <v>15.3</v>
      </c>
      <c r="Q724" s="7">
        <v>9</v>
      </c>
      <c r="R724" s="7" t="str">
        <f>IF(AllDataApr[[#This Row],[Nitrate (PPM)]]&gt;2, "Very high", IF(AllDataApr[[#This Row],[Nitrate (PPM)]]&gt;1, "High", IF(AllDataApr[[#This Row],[Nitrate (PPM)]]&gt;0.5, "Some evidence", IF(AllDataApr[[#This Row],[Nitrate (PPM)]]&gt;0, "No evidence", IF(AllDataApr[[#This Row],[Nitrate (PPM)]]=0, "")))))</f>
        <v>Very high</v>
      </c>
      <c r="S724" s="7">
        <v>0.22</v>
      </c>
      <c r="T724" s="7" t="str">
        <f>IF(AllDataApr[[#This Row],[Phosphate (PPM)]]&gt;0.5, "Very high", IF(AllDataApr[[#This Row],[Phosphate (PPM)]]&gt;0.1, "High", IF(AllDataApr[[#This Row],[Phosphate (PPM)]]&gt;0.05, "Some evidence", IF(AllDataApr[[#This Row],[Phosphate (PPM)]]=0, ""))))</f>
        <v>High</v>
      </c>
      <c r="U724">
        <v>0</v>
      </c>
    </row>
    <row r="725" spans="1:22" x14ac:dyDescent="0.3">
      <c r="A725" t="s">
        <v>1125</v>
      </c>
      <c r="B725" s="2">
        <v>45439</v>
      </c>
      <c r="C725" s="2" t="str" cm="1">
        <f t="array" ref="C72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25">
        <f>YEAR(AllDataApr[[#This Row],[Date]])</f>
        <v>2024</v>
      </c>
      <c r="E725" s="1">
        <v>0.41666666666666669</v>
      </c>
      <c r="F725" s="2" t="str">
        <f>IF(AND(AllDataApr[[#This Row],[Time]]&lt;0.5, AllDataApr[[#This Row],[Time]]&gt;0.17)=TRUE, "Morning", IF(AND(AllDataApr[[#This Row],[Time]]&lt;0.75, AllDataApr[[#This Row],[Time]]&gt;=0.5)=TRUE, "Afternoon", IF(AND(AllDataApr[[#This Row],[Time]]&lt;1, AllDataApr[[#This Row],[Time]]&gt;=0.75)=TRUE, "Evening", "Night")))</f>
        <v>Morning</v>
      </c>
      <c r="G725" t="s">
        <v>1254</v>
      </c>
      <c r="H725" t="str">
        <f>_xlfn.XLOOKUP(AllDataApr[[#This Row],[Location Name]], Locations[Row Labels],Locations[Group As])</f>
        <v>Fell Mill Footbridge</v>
      </c>
      <c r="I725" t="str">
        <f>_xlfn.XLOOKUP(AllDataApr[[#This Row],[Site Name]],LocationsKey[Site Name],LocationsKey[Region])</f>
        <v>Shipston</v>
      </c>
      <c r="J725" t="str">
        <f>_xlfn.XLOOKUP(AllDataApr[[#This Row],[Site Name]],LocationsKey[Site Name], LocationsKey[Waterway])</f>
        <v>Stour</v>
      </c>
      <c r="K725" t="s">
        <v>910</v>
      </c>
      <c r="L725">
        <v>52.070086000000003</v>
      </c>
      <c r="M725">
        <v>-1.61145</v>
      </c>
      <c r="N725" t="s">
        <v>18</v>
      </c>
      <c r="O725" s="7">
        <v>617</v>
      </c>
      <c r="P725">
        <v>14.3</v>
      </c>
      <c r="Q725" s="7">
        <v>10</v>
      </c>
      <c r="R725" s="7" t="str">
        <f>IF(AllDataApr[[#This Row],[Nitrate (PPM)]]&gt;2, "Very high", IF(AllDataApr[[#This Row],[Nitrate (PPM)]]&gt;1, "High", IF(AllDataApr[[#This Row],[Nitrate (PPM)]]&gt;0.5, "Some evidence", IF(AllDataApr[[#This Row],[Nitrate (PPM)]]&gt;0, "No evidence", IF(AllDataApr[[#This Row],[Nitrate (PPM)]]=0, "")))))</f>
        <v>Very high</v>
      </c>
      <c r="S725" s="7">
        <v>0.56999999999999995</v>
      </c>
      <c r="T725" s="7" t="str">
        <f>IF(AllDataApr[[#This Row],[Phosphate (PPM)]]&gt;0.5, "Very high", IF(AllDataApr[[#This Row],[Phosphate (PPM)]]&gt;0.1, "High", IF(AllDataApr[[#This Row],[Phosphate (PPM)]]&gt;0.05, "Some evidence", IF(AllDataApr[[#This Row],[Phosphate (PPM)]]=0, ""))))</f>
        <v>Very high</v>
      </c>
      <c r="U725">
        <v>1.4</v>
      </c>
    </row>
    <row r="726" spans="1:22" x14ac:dyDescent="0.3">
      <c r="A726" t="s">
        <v>1131</v>
      </c>
      <c r="B726" s="2">
        <v>45439</v>
      </c>
      <c r="C726" s="2" t="str" cm="1">
        <f t="array" ref="C72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26">
        <f>YEAR(AllDataApr[[#This Row],[Date]])</f>
        <v>2024</v>
      </c>
      <c r="E726" s="1">
        <v>0.41805555555555557</v>
      </c>
      <c r="F726" s="2" t="str">
        <f>IF(AND(AllDataApr[[#This Row],[Time]]&lt;0.5, AllDataApr[[#This Row],[Time]]&gt;0.17)=TRUE, "Morning", IF(AND(AllDataApr[[#This Row],[Time]]&lt;0.75, AllDataApr[[#This Row],[Time]]&gt;=0.5)=TRUE, "Afternoon", IF(AND(AllDataApr[[#This Row],[Time]]&lt;1, AllDataApr[[#This Row],[Time]]&gt;=0.75)=TRUE, "Evening", "Night")))</f>
        <v>Morning</v>
      </c>
      <c r="G726" t="s">
        <v>11</v>
      </c>
      <c r="H726" t="str">
        <f>_xlfn.XLOOKUP(AllDataApr[[#This Row],[Location Name]], Locations[Row Labels],Locations[Group As])</f>
        <v>Carrant M5 Bridge</v>
      </c>
      <c r="I726" t="str">
        <f>_xlfn.XLOOKUP(AllDataApr[[#This Row],[Site Name]],LocationsKey[Site Name],LocationsKey[Region])</f>
        <v>Tewkesbury</v>
      </c>
      <c r="J726" t="str">
        <f>_xlfn.XLOOKUP(AllDataApr[[#This Row],[Site Name]],LocationsKey[Site Name], LocationsKey[Waterway])</f>
        <v>Carrant</v>
      </c>
      <c r="K726" t="s">
        <v>1268</v>
      </c>
      <c r="L726">
        <v>52.011811999999999</v>
      </c>
      <c r="M726">
        <v>-2.1203129999999999</v>
      </c>
      <c r="N726" t="s">
        <v>14</v>
      </c>
      <c r="O726" s="7">
        <v>732</v>
      </c>
      <c r="P726">
        <v>15.2</v>
      </c>
      <c r="Q726" s="7">
        <v>7</v>
      </c>
      <c r="R726" s="7" t="str">
        <f>IF(AllDataApr[[#This Row],[Nitrate (PPM)]]&gt;2, "Very high", IF(AllDataApr[[#This Row],[Nitrate (PPM)]]&gt;1, "High", IF(AllDataApr[[#This Row],[Nitrate (PPM)]]&gt;0.5, "Some evidence", IF(AllDataApr[[#This Row],[Nitrate (PPM)]]&gt;0, "No evidence", IF(AllDataApr[[#This Row],[Nitrate (PPM)]]=0, "")))))</f>
        <v>Very high</v>
      </c>
      <c r="S726" s="7">
        <v>0.45</v>
      </c>
      <c r="T726" s="7" t="str">
        <f>IF(AllDataApr[[#This Row],[Phosphate (PPM)]]&gt;0.5, "Very high", IF(AllDataApr[[#This Row],[Phosphate (PPM)]]&gt;0.1, "High", IF(AllDataApr[[#This Row],[Phosphate (PPM)]]&gt;0.05, "Some evidence", IF(AllDataApr[[#This Row],[Phosphate (PPM)]]=0, ""))))</f>
        <v>High</v>
      </c>
      <c r="U726">
        <v>0</v>
      </c>
    </row>
    <row r="727" spans="1:22" x14ac:dyDescent="0.3">
      <c r="A727" t="s">
        <v>1124</v>
      </c>
      <c r="B727" s="2">
        <v>45439</v>
      </c>
      <c r="C727" s="2" t="str" cm="1">
        <f t="array" ref="C72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27">
        <f>YEAR(AllDataApr[[#This Row],[Date]])</f>
        <v>2024</v>
      </c>
      <c r="E727" s="1">
        <v>0.4375</v>
      </c>
      <c r="F727" s="2" t="str">
        <f>IF(AND(AllDataApr[[#This Row],[Time]]&lt;0.5, AllDataApr[[#This Row],[Time]]&gt;0.17)=TRUE, "Morning", IF(AND(AllDataApr[[#This Row],[Time]]&lt;0.75, AllDataApr[[#This Row],[Time]]&gt;=0.5)=TRUE, "Afternoon", IF(AND(AllDataApr[[#This Row],[Time]]&lt;1, AllDataApr[[#This Row],[Time]]&gt;=0.75)=TRUE, "Evening", "Night")))</f>
        <v>Morning</v>
      </c>
      <c r="G727" t="s">
        <v>46</v>
      </c>
      <c r="H727" t="str">
        <f>_xlfn.XLOOKUP(AllDataApr[[#This Row],[Location Name]], Locations[Row Labels],Locations[Group As])</f>
        <v>Abbey Mill</v>
      </c>
      <c r="I727" t="str">
        <f>_xlfn.XLOOKUP(AllDataApr[[#This Row],[Site Name]],LocationsKey[Site Name],LocationsKey[Region])</f>
        <v>Tewkesbury</v>
      </c>
      <c r="J727" t="str">
        <f>_xlfn.XLOOKUP(AllDataApr[[#This Row],[Site Name]],LocationsKey[Site Name], LocationsKey[Waterway])</f>
        <v>Avon</v>
      </c>
      <c r="K727" t="s">
        <v>13</v>
      </c>
      <c r="N727" t="s">
        <v>14</v>
      </c>
      <c r="O727" s="7">
        <v>733</v>
      </c>
      <c r="P727">
        <v>16</v>
      </c>
      <c r="Q727" s="7">
        <v>5</v>
      </c>
      <c r="R727" s="7" t="str">
        <f>IF(AllDataApr[[#This Row],[Nitrate (PPM)]]&gt;2, "Very high", IF(AllDataApr[[#This Row],[Nitrate (PPM)]]&gt;1, "High", IF(AllDataApr[[#This Row],[Nitrate (PPM)]]&gt;0.5, "Some evidence", IF(AllDataApr[[#This Row],[Nitrate (PPM)]]&gt;0, "No evidence", IF(AllDataApr[[#This Row],[Nitrate (PPM)]]=0, "")))))</f>
        <v>Very high</v>
      </c>
      <c r="S727" s="7">
        <v>0.64</v>
      </c>
      <c r="T727" s="7" t="str">
        <f>IF(AllDataApr[[#This Row],[Phosphate (PPM)]]&gt;0.5, "Very high", IF(AllDataApr[[#This Row],[Phosphate (PPM)]]&gt;0.1, "High", IF(AllDataApr[[#This Row],[Phosphate (PPM)]]&gt;0.05, "Some evidence", IF(AllDataApr[[#This Row],[Phosphate (PPM)]]=0, ""))))</f>
        <v>Very high</v>
      </c>
      <c r="U727">
        <v>0</v>
      </c>
    </row>
    <row r="728" spans="1:22" x14ac:dyDescent="0.3">
      <c r="A728" t="s">
        <v>1130</v>
      </c>
      <c r="B728" s="2">
        <v>45439</v>
      </c>
      <c r="C728" s="2" t="str" cm="1">
        <f t="array" ref="C728">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28">
        <f>YEAR(AllDataApr[[#This Row],[Date]])</f>
        <v>2024</v>
      </c>
      <c r="E728" s="1">
        <v>0.44166666666666665</v>
      </c>
      <c r="F728" s="2" t="str">
        <f>IF(AND(AllDataApr[[#This Row],[Time]]&lt;0.5, AllDataApr[[#This Row],[Time]]&gt;0.17)=TRUE, "Morning", IF(AND(AllDataApr[[#This Row],[Time]]&lt;0.75, AllDataApr[[#This Row],[Time]]&gt;=0.5)=TRUE, "Afternoon", IF(AND(AllDataApr[[#This Row],[Time]]&lt;1, AllDataApr[[#This Row],[Time]]&gt;=0.75)=TRUE, "Evening", "Night")))</f>
        <v>Morning</v>
      </c>
      <c r="G728" t="s">
        <v>11</v>
      </c>
      <c r="H728" t="str">
        <f>_xlfn.XLOOKUP(AllDataApr[[#This Row],[Location Name]], Locations[Row Labels],Locations[Group As])</f>
        <v>Black Bear</v>
      </c>
      <c r="I728" t="str">
        <f>_xlfn.XLOOKUP(AllDataApr[[#This Row],[Site Name]],LocationsKey[Site Name],LocationsKey[Region])</f>
        <v>Tewkesbury</v>
      </c>
      <c r="J728" t="str">
        <f>_xlfn.XLOOKUP(AllDataApr[[#This Row],[Site Name]],LocationsKey[Site Name], LocationsKey[Waterway])</f>
        <v>Avon</v>
      </c>
      <c r="K728" t="s">
        <v>1267</v>
      </c>
      <c r="L728">
        <v>51.997521999999996</v>
      </c>
      <c r="M728">
        <v>-2.1561469999999998</v>
      </c>
      <c r="N728" t="s">
        <v>14</v>
      </c>
      <c r="O728" s="7">
        <v>694</v>
      </c>
      <c r="P728">
        <v>15.8</v>
      </c>
      <c r="Q728" s="7">
        <v>10</v>
      </c>
      <c r="R728" s="7" t="str">
        <f>IF(AllDataApr[[#This Row],[Nitrate (PPM)]]&gt;2, "Very high", IF(AllDataApr[[#This Row],[Nitrate (PPM)]]&gt;1, "High", IF(AllDataApr[[#This Row],[Nitrate (PPM)]]&gt;0.5, "Some evidence", IF(AllDataApr[[#This Row],[Nitrate (PPM)]]&gt;0, "No evidence", IF(AllDataApr[[#This Row],[Nitrate (PPM)]]=0, "")))))</f>
        <v>Very high</v>
      </c>
      <c r="S728" s="7">
        <v>0.75</v>
      </c>
      <c r="T728" s="7" t="str">
        <f>IF(AllDataApr[[#This Row],[Phosphate (PPM)]]&gt;0.5, "Very high", IF(AllDataApr[[#This Row],[Phosphate (PPM)]]&gt;0.1, "High", IF(AllDataApr[[#This Row],[Phosphate (PPM)]]&gt;0.05, "Some evidence", IF(AllDataApr[[#This Row],[Phosphate (PPM)]]=0, ""))))</f>
        <v>Very high</v>
      </c>
      <c r="U728">
        <v>0</v>
      </c>
    </row>
    <row r="729" spans="1:22" x14ac:dyDescent="0.3">
      <c r="A729" t="s">
        <v>1129</v>
      </c>
      <c r="B729" s="2">
        <v>45439</v>
      </c>
      <c r="C729" s="2" t="str" cm="1">
        <f t="array" ref="C729">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29">
        <f>YEAR(AllDataApr[[#This Row],[Date]])</f>
        <v>2024</v>
      </c>
      <c r="E729" s="1">
        <v>0.44583333333333336</v>
      </c>
      <c r="F729" s="2" t="str">
        <f>IF(AND(AllDataApr[[#This Row],[Time]]&lt;0.5, AllDataApr[[#This Row],[Time]]&gt;0.17)=TRUE, "Morning", IF(AND(AllDataApr[[#This Row],[Time]]&lt;0.75, AllDataApr[[#This Row],[Time]]&gt;=0.5)=TRUE, "Afternoon", IF(AND(AllDataApr[[#This Row],[Time]]&lt;1, AllDataApr[[#This Row],[Time]]&gt;=0.75)=TRUE, "Evening", "Night")))</f>
        <v>Morning</v>
      </c>
      <c r="G729" t="s">
        <v>150</v>
      </c>
      <c r="H729" t="str">
        <f>_xlfn.XLOOKUP(AllDataApr[[#This Row],[Location Name]], Locations[Row Labels],Locations[Group As])</f>
        <v>Stour Stretton-on-Fosse Village</v>
      </c>
      <c r="I729" t="str">
        <f>_xlfn.XLOOKUP(AllDataApr[[#This Row],[Site Name]],LocationsKey[Site Name],LocationsKey[Region])</f>
        <v>Shipston</v>
      </c>
      <c r="J729" t="str">
        <f>_xlfn.XLOOKUP(AllDataApr[[#This Row],[Site Name]],LocationsKey[Site Name], LocationsKey[Waterway])</f>
        <v>Stour</v>
      </c>
      <c r="K729" t="s">
        <v>198</v>
      </c>
      <c r="L729">
        <v>52.046515999999997</v>
      </c>
      <c r="M729">
        <v>-1.6733880000000001</v>
      </c>
      <c r="N729" t="s">
        <v>42</v>
      </c>
      <c r="O729" s="7">
        <v>758</v>
      </c>
      <c r="P729">
        <v>13.2</v>
      </c>
      <c r="Q729" s="7">
        <v>1</v>
      </c>
      <c r="R729" s="7" t="str">
        <f>IF(AllDataApr[[#This Row],[Nitrate (PPM)]]&gt;2, "Very high", IF(AllDataApr[[#This Row],[Nitrate (PPM)]]&gt;1, "High", IF(AllDataApr[[#This Row],[Nitrate (PPM)]]&gt;0.5, "Some evidence", IF(AllDataApr[[#This Row],[Nitrate (PPM)]]&gt;0, "No evidence", IF(AllDataApr[[#This Row],[Nitrate (PPM)]]=0, "")))))</f>
        <v>Some evidence</v>
      </c>
      <c r="S729" s="7">
        <v>2.46</v>
      </c>
      <c r="T729" s="7" t="str">
        <f>IF(AllDataApr[[#This Row],[Phosphate (PPM)]]&gt;0.5, "Very high", IF(AllDataApr[[#This Row],[Phosphate (PPM)]]&gt;0.1, "High", IF(AllDataApr[[#This Row],[Phosphate (PPM)]]&gt;0.05, "Some evidence", IF(AllDataApr[[#This Row],[Phosphate (PPM)]]=0, ""))))</f>
        <v>Very high</v>
      </c>
      <c r="U729">
        <v>0.15</v>
      </c>
    </row>
    <row r="730" spans="1:22" x14ac:dyDescent="0.3">
      <c r="A730" t="s">
        <v>1128</v>
      </c>
      <c r="B730" s="2">
        <v>45439</v>
      </c>
      <c r="C730" s="2" t="str" cm="1">
        <f t="array" ref="C730">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30">
        <f>YEAR(AllDataApr[[#This Row],[Date]])</f>
        <v>2024</v>
      </c>
      <c r="E730" s="1">
        <v>0.45347222222222222</v>
      </c>
      <c r="F730" s="2" t="str">
        <f>IF(AND(AllDataApr[[#This Row],[Time]]&lt;0.5, AllDataApr[[#This Row],[Time]]&gt;0.17)=TRUE, "Morning", IF(AND(AllDataApr[[#This Row],[Time]]&lt;0.75, AllDataApr[[#This Row],[Time]]&gt;=0.5)=TRUE, "Afternoon", IF(AND(AllDataApr[[#This Row],[Time]]&lt;1, AllDataApr[[#This Row],[Time]]&gt;=0.75)=TRUE, "Evening", "Night")))</f>
        <v>Morning</v>
      </c>
      <c r="G730" t="s">
        <v>150</v>
      </c>
      <c r="H730" t="str">
        <f>_xlfn.XLOOKUP(AllDataApr[[#This Row],[Location Name]], Locations[Row Labels],Locations[Group As])</f>
        <v>Stour Stretton-on-Fosse Sewage Works</v>
      </c>
      <c r="I730" t="str">
        <f>_xlfn.XLOOKUP(AllDataApr[[#This Row],[Site Name]],LocationsKey[Site Name],LocationsKey[Region])</f>
        <v>Shipston</v>
      </c>
      <c r="J730" t="str">
        <f>_xlfn.XLOOKUP(AllDataApr[[#This Row],[Site Name]],LocationsKey[Site Name], LocationsKey[Waterway])</f>
        <v>Stour</v>
      </c>
      <c r="K730" t="s">
        <v>151</v>
      </c>
      <c r="L730">
        <v>52.045654999999996</v>
      </c>
      <c r="M730">
        <v>-1.6719310000000001</v>
      </c>
      <c r="N730" t="s">
        <v>18</v>
      </c>
      <c r="O730" s="7">
        <v>789</v>
      </c>
      <c r="P730">
        <v>13.8</v>
      </c>
      <c r="Q730" s="7">
        <v>1</v>
      </c>
      <c r="R730" s="7" t="str">
        <f>IF(AllDataApr[[#This Row],[Nitrate (PPM)]]&gt;2, "Very high", IF(AllDataApr[[#This Row],[Nitrate (PPM)]]&gt;1, "High", IF(AllDataApr[[#This Row],[Nitrate (PPM)]]&gt;0.5, "Some evidence", IF(AllDataApr[[#This Row],[Nitrate (PPM)]]&gt;0, "No evidence", IF(AllDataApr[[#This Row],[Nitrate (PPM)]]=0, "")))))</f>
        <v>Some evidence</v>
      </c>
      <c r="S730" s="7">
        <v>2.5</v>
      </c>
      <c r="T730" s="7" t="str">
        <f>IF(AllDataApr[[#This Row],[Phosphate (PPM)]]&gt;0.5, "Very high", IF(AllDataApr[[#This Row],[Phosphate (PPM)]]&gt;0.1, "High", IF(AllDataApr[[#This Row],[Phosphate (PPM)]]&gt;0.05, "Some evidence", IF(AllDataApr[[#This Row],[Phosphate (PPM)]]=0, ""))))</f>
        <v>Very high</v>
      </c>
      <c r="U730">
        <v>0.25</v>
      </c>
      <c r="V730" t="s">
        <v>1277</v>
      </c>
    </row>
    <row r="731" spans="1:22" x14ac:dyDescent="0.3">
      <c r="A731" t="s">
        <v>1121</v>
      </c>
      <c r="B731" s="2">
        <v>45441</v>
      </c>
      <c r="C731" s="2" t="str" cm="1">
        <f t="array" ref="C731">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31">
        <f>YEAR(AllDataApr[[#This Row],[Date]])</f>
        <v>2024</v>
      </c>
      <c r="E731" s="1">
        <v>0.59791666666666665</v>
      </c>
      <c r="F731" s="2" t="str">
        <f>IF(AND(AllDataApr[[#This Row],[Time]]&lt;0.5, AllDataApr[[#This Row],[Time]]&gt;0.17)=TRUE, "Morning", IF(AND(AllDataApr[[#This Row],[Time]]&lt;0.75, AllDataApr[[#This Row],[Time]]&gt;=0.5)=TRUE, "Afternoon", IF(AND(AllDataApr[[#This Row],[Time]]&lt;1, AllDataApr[[#This Row],[Time]]&gt;=0.75)=TRUE, "Evening", "Night")))</f>
        <v>Afternoon</v>
      </c>
      <c r="G731" t="s">
        <v>129</v>
      </c>
      <c r="H731" t="str">
        <f>_xlfn.XLOOKUP(AllDataApr[[#This Row],[Location Name]], Locations[Row Labels],Locations[Group As])</f>
        <v>Alveston Weir</v>
      </c>
      <c r="I731" t="str">
        <f>_xlfn.XLOOKUP(AllDataApr[[#This Row],[Site Name]],LocationsKey[Site Name],LocationsKey[Region])</f>
        <v>Stratford</v>
      </c>
      <c r="J731" t="str">
        <f>_xlfn.XLOOKUP(AllDataApr[[#This Row],[Site Name]],LocationsKey[Site Name], LocationsKey[Waterway])</f>
        <v>Avon</v>
      </c>
      <c r="K731" t="s">
        <v>128</v>
      </c>
      <c r="L731">
        <v>52.212288999999998</v>
      </c>
      <c r="M731">
        <v>-1.660452</v>
      </c>
      <c r="N731" t="s">
        <v>1270</v>
      </c>
      <c r="O731" s="7">
        <v>611</v>
      </c>
      <c r="P731">
        <v>17.100000000000001</v>
      </c>
      <c r="Q731" s="7">
        <v>5</v>
      </c>
      <c r="R731" s="7" t="str">
        <f>IF(AllDataApr[[#This Row],[Nitrate (PPM)]]&gt;2, "Very high", IF(AllDataApr[[#This Row],[Nitrate (PPM)]]&gt;1, "High", IF(AllDataApr[[#This Row],[Nitrate (PPM)]]&gt;0.5, "Some evidence", IF(AllDataApr[[#This Row],[Nitrate (PPM)]]&gt;0, "No evidence", IF(AllDataApr[[#This Row],[Nitrate (PPM)]]=0, "")))))</f>
        <v>Very high</v>
      </c>
      <c r="S731" s="7">
        <v>0.48</v>
      </c>
      <c r="T731" s="7" t="str">
        <f>IF(AllDataApr[[#This Row],[Phosphate (PPM)]]&gt;0.5, "Very high", IF(AllDataApr[[#This Row],[Phosphate (PPM)]]&gt;0.1, "High", IF(AllDataApr[[#This Row],[Phosphate (PPM)]]&gt;0.05, "Some evidence", IF(AllDataApr[[#This Row],[Phosphate (PPM)]]=0, ""))))</f>
        <v>High</v>
      </c>
      <c r="U731">
        <v>0.25</v>
      </c>
      <c r="V731" t="s">
        <v>1275</v>
      </c>
    </row>
    <row r="732" spans="1:22" x14ac:dyDescent="0.3">
      <c r="A732" t="s">
        <v>1122</v>
      </c>
      <c r="B732" s="2">
        <v>45441</v>
      </c>
      <c r="C732" s="2" t="str" cm="1">
        <f t="array" ref="C732">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32">
        <f>YEAR(AllDataApr[[#This Row],[Date]])</f>
        <v>2024</v>
      </c>
      <c r="E732" s="1">
        <v>0.60277777777777775</v>
      </c>
      <c r="F732" s="2" t="str">
        <f>IF(AND(AllDataApr[[#This Row],[Time]]&lt;0.5, AllDataApr[[#This Row],[Time]]&gt;0.17)=TRUE, "Morning", IF(AND(AllDataApr[[#This Row],[Time]]&lt;0.75, AllDataApr[[#This Row],[Time]]&gt;=0.5)=TRUE, "Afternoon", IF(AND(AllDataApr[[#This Row],[Time]]&lt;1, AllDataApr[[#This Row],[Time]]&gt;=0.75)=TRUE, "Evening", "Night")))</f>
        <v>Afternoon</v>
      </c>
      <c r="G732" t="s">
        <v>139</v>
      </c>
      <c r="H732" t="str">
        <f>_xlfn.XLOOKUP(AllDataApr[[#This Row],[Location Name]], Locations[Row Labels],Locations[Group As])</f>
        <v>Swiffen Bank</v>
      </c>
      <c r="I732" t="str">
        <f>_xlfn.XLOOKUP(AllDataApr[[#This Row],[Site Name]],LocationsKey[Site Name],LocationsKey[Region])</f>
        <v>Stratford</v>
      </c>
      <c r="J732" t="str">
        <f>_xlfn.XLOOKUP(AllDataApr[[#This Row],[Site Name]],LocationsKey[Site Name], LocationsKey[Waterway])</f>
        <v>Avon</v>
      </c>
      <c r="K732" t="s">
        <v>130</v>
      </c>
      <c r="L732">
        <v>52.206477999999997</v>
      </c>
      <c r="M732">
        <v>-1.653894</v>
      </c>
      <c r="N732" t="s">
        <v>18</v>
      </c>
      <c r="O732" s="7">
        <v>631</v>
      </c>
      <c r="P732">
        <v>17.2</v>
      </c>
      <c r="Q732" s="7">
        <v>5</v>
      </c>
      <c r="R732" s="7" t="str">
        <f>IF(AllDataApr[[#This Row],[Nitrate (PPM)]]&gt;2, "Very high", IF(AllDataApr[[#This Row],[Nitrate (PPM)]]&gt;1, "High", IF(AllDataApr[[#This Row],[Nitrate (PPM)]]&gt;0.5, "Some evidence", IF(AllDataApr[[#This Row],[Nitrate (PPM)]]&gt;0, "No evidence", IF(AllDataApr[[#This Row],[Nitrate (PPM)]]=0, "")))))</f>
        <v>Very high</v>
      </c>
      <c r="S732" s="7">
        <v>0.48</v>
      </c>
      <c r="T732" s="7" t="str">
        <f>IF(AllDataApr[[#This Row],[Phosphate (PPM)]]&gt;0.5, "Very high", IF(AllDataApr[[#This Row],[Phosphate (PPM)]]&gt;0.1, "High", IF(AllDataApr[[#This Row],[Phosphate (PPM)]]&gt;0.05, "Some evidence", IF(AllDataApr[[#This Row],[Phosphate (PPM)]]=0, ""))))</f>
        <v>High</v>
      </c>
      <c r="U732">
        <v>0.25</v>
      </c>
    </row>
    <row r="733" spans="1:22" x14ac:dyDescent="0.3">
      <c r="A733" t="s">
        <v>1118</v>
      </c>
      <c r="B733" s="2">
        <v>45442</v>
      </c>
      <c r="C733" s="2" t="str" cm="1">
        <f t="array" ref="C733">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33">
        <f>YEAR(AllDataApr[[#This Row],[Date]])</f>
        <v>2024</v>
      </c>
      <c r="E733" s="1">
        <v>0.37847222222222221</v>
      </c>
      <c r="F733" s="2" t="str">
        <f>IF(AND(AllDataApr[[#This Row],[Time]]&lt;0.5, AllDataApr[[#This Row],[Time]]&gt;0.17)=TRUE, "Morning", IF(AND(AllDataApr[[#This Row],[Time]]&lt;0.75, AllDataApr[[#This Row],[Time]]&gt;=0.5)=TRUE, "Afternoon", IF(AND(AllDataApr[[#This Row],[Time]]&lt;1, AllDataApr[[#This Row],[Time]]&gt;=0.75)=TRUE, "Evening", "Night")))</f>
        <v>Morning</v>
      </c>
      <c r="G733" t="s">
        <v>46</v>
      </c>
      <c r="H733" t="str">
        <f>_xlfn.XLOOKUP(AllDataApr[[#This Row],[Location Name]], Locations[Row Labels],Locations[Group As])</f>
        <v>Swilgate</v>
      </c>
      <c r="I733" t="str">
        <f>_xlfn.XLOOKUP(AllDataApr[[#This Row],[Site Name]],LocationsKey[Site Name],LocationsKey[Region])</f>
        <v>Tewkesbury</v>
      </c>
      <c r="J733" t="str">
        <f>_xlfn.XLOOKUP(AllDataApr[[#This Row],[Site Name]],LocationsKey[Site Name], LocationsKey[Waterway])</f>
        <v>Swilgate</v>
      </c>
      <c r="K733" t="s">
        <v>47</v>
      </c>
      <c r="N733" t="s">
        <v>14</v>
      </c>
      <c r="O733" s="7">
        <v>934</v>
      </c>
      <c r="P733">
        <v>15</v>
      </c>
      <c r="Q733" s="7">
        <v>4</v>
      </c>
      <c r="R733" s="7" t="str">
        <f>IF(AllDataApr[[#This Row],[Nitrate (PPM)]]&gt;2, "Very high", IF(AllDataApr[[#This Row],[Nitrate (PPM)]]&gt;1, "High", IF(AllDataApr[[#This Row],[Nitrate (PPM)]]&gt;0.5, "Some evidence", IF(AllDataApr[[#This Row],[Nitrate (PPM)]]&gt;0, "No evidence", IF(AllDataApr[[#This Row],[Nitrate (PPM)]]=0, "")))))</f>
        <v>Very high</v>
      </c>
      <c r="S733" s="7">
        <v>0.48</v>
      </c>
      <c r="T733" s="7" t="str">
        <f>IF(AllDataApr[[#This Row],[Phosphate (PPM)]]&gt;0.5, "Very high", IF(AllDataApr[[#This Row],[Phosphate (PPM)]]&gt;0.1, "High", IF(AllDataApr[[#This Row],[Phosphate (PPM)]]&gt;0.05, "Some evidence", IF(AllDataApr[[#This Row],[Phosphate (PPM)]]=0, ""))))</f>
        <v>High</v>
      </c>
      <c r="U733">
        <v>0</v>
      </c>
    </row>
    <row r="734" spans="1:22" x14ac:dyDescent="0.3">
      <c r="A734" t="s">
        <v>1117</v>
      </c>
      <c r="B734" s="2">
        <v>45443</v>
      </c>
      <c r="C734" s="2" t="str" cm="1">
        <f t="array" ref="C734">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34">
        <f>YEAR(AllDataApr[[#This Row],[Date]])</f>
        <v>2024</v>
      </c>
      <c r="E734" s="1">
        <v>0.31944444444444442</v>
      </c>
      <c r="F734" s="2" t="str">
        <f>IF(AND(AllDataApr[[#This Row],[Time]]&lt;0.5, AllDataApr[[#This Row],[Time]]&gt;0.17)=TRUE, "Morning", IF(AND(AllDataApr[[#This Row],[Time]]&lt;0.75, AllDataApr[[#This Row],[Time]]&gt;=0.5)=TRUE, "Afternoon", IF(AND(AllDataApr[[#This Row],[Time]]&lt;1, AllDataApr[[#This Row],[Time]]&gt;=0.75)=TRUE, "Evening", "Night")))</f>
        <v>Morning</v>
      </c>
      <c r="G734" t="s">
        <v>221</v>
      </c>
      <c r="H734" t="str">
        <f>_xlfn.XLOOKUP(AllDataApr[[#This Row],[Location Name]], Locations[Row Labels],Locations[Group As])</f>
        <v>Lower Lode</v>
      </c>
      <c r="I734" t="str">
        <f>_xlfn.XLOOKUP(AllDataApr[[#This Row],[Site Name]],LocationsKey[Site Name],LocationsKey[Region])</f>
        <v>Tewkesbury</v>
      </c>
      <c r="J734" t="str">
        <f>_xlfn.XLOOKUP(AllDataApr[[#This Row],[Site Name]],LocationsKey[Site Name], LocationsKey[Waterway])</f>
        <v>Avon</v>
      </c>
      <c r="K734" t="s">
        <v>234</v>
      </c>
      <c r="L734">
        <v>51.985031999999997</v>
      </c>
      <c r="M734">
        <v>-2.1743459999999999</v>
      </c>
      <c r="N734" t="s">
        <v>18</v>
      </c>
      <c r="O734" s="7">
        <v>1020</v>
      </c>
      <c r="P734">
        <v>16.8</v>
      </c>
      <c r="Q734" s="7">
        <v>10</v>
      </c>
      <c r="R734" s="7" t="str">
        <f>IF(AllDataApr[[#This Row],[Nitrate (PPM)]]&gt;2, "Very high", IF(AllDataApr[[#This Row],[Nitrate (PPM)]]&gt;1, "High", IF(AllDataApr[[#This Row],[Nitrate (PPM)]]&gt;0.5, "Some evidence", IF(AllDataApr[[#This Row],[Nitrate (PPM)]]&gt;0, "No evidence", IF(AllDataApr[[#This Row],[Nitrate (PPM)]]=0, "")))))</f>
        <v>Very high</v>
      </c>
      <c r="S734" s="7">
        <v>0.5</v>
      </c>
      <c r="T734" s="7" t="str">
        <f>IF(AllDataApr[[#This Row],[Phosphate (PPM)]]&gt;0.5, "Very high", IF(AllDataApr[[#This Row],[Phosphate (PPM)]]&gt;0.1, "High", IF(AllDataApr[[#This Row],[Phosphate (PPM)]]&gt;0.05, "Some evidence", IF(AllDataApr[[#This Row],[Phosphate (PPM)]]=0, ""))))</f>
        <v>High</v>
      </c>
      <c r="U734">
        <v>1</v>
      </c>
    </row>
    <row r="735" spans="1:22" x14ac:dyDescent="0.3">
      <c r="A735" t="s">
        <v>1116</v>
      </c>
      <c r="B735" s="2">
        <v>45443</v>
      </c>
      <c r="C735" s="2" t="str" cm="1">
        <f t="array" ref="C735">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35">
        <f>YEAR(AllDataApr[[#This Row],[Date]])</f>
        <v>2024</v>
      </c>
      <c r="E735" s="1">
        <v>0.42638888888888887</v>
      </c>
      <c r="F735" s="2" t="str">
        <f>IF(AND(AllDataApr[[#This Row],[Time]]&lt;0.5, AllDataApr[[#This Row],[Time]]&gt;0.17)=TRUE, "Morning", IF(AND(AllDataApr[[#This Row],[Time]]&lt;0.75, AllDataApr[[#This Row],[Time]]&gt;=0.5)=TRUE, "Afternoon", IF(AND(AllDataApr[[#This Row],[Time]]&lt;1, AllDataApr[[#This Row],[Time]]&gt;=0.75)=TRUE, "Evening", "Night")))</f>
        <v>Morning</v>
      </c>
      <c r="G735" t="s">
        <v>11</v>
      </c>
      <c r="H735" t="str">
        <f>_xlfn.XLOOKUP(AllDataApr[[#This Row],[Location Name]], Locations[Row Labels],Locations[Group As])</f>
        <v>Carrant Mitton Path</v>
      </c>
      <c r="I735" t="str">
        <f>_xlfn.XLOOKUP(AllDataApr[[#This Row],[Site Name]],LocationsKey[Site Name],LocationsKey[Region])</f>
        <v>Tewkesbury</v>
      </c>
      <c r="J735" t="str">
        <f>_xlfn.XLOOKUP(AllDataApr[[#This Row],[Site Name]],LocationsKey[Site Name], LocationsKey[Waterway])</f>
        <v>Carrant</v>
      </c>
      <c r="K735" t="s">
        <v>914</v>
      </c>
      <c r="L735">
        <v>52.000126999999999</v>
      </c>
      <c r="M735">
        <v>-2.1419570000000001</v>
      </c>
      <c r="N735" t="s">
        <v>14</v>
      </c>
      <c r="O735" s="7">
        <v>728</v>
      </c>
      <c r="P735">
        <v>14.6</v>
      </c>
      <c r="Q735" s="7">
        <v>5</v>
      </c>
      <c r="R735" s="7" t="str">
        <f>IF(AllDataApr[[#This Row],[Nitrate (PPM)]]&gt;2, "Very high", IF(AllDataApr[[#This Row],[Nitrate (PPM)]]&gt;1, "High", IF(AllDataApr[[#This Row],[Nitrate (PPM)]]&gt;0.5, "Some evidence", IF(AllDataApr[[#This Row],[Nitrate (PPM)]]&gt;0, "No evidence", IF(AllDataApr[[#This Row],[Nitrate (PPM)]]=0, "")))))</f>
        <v>Very high</v>
      </c>
      <c r="S735" s="7">
        <v>1.27</v>
      </c>
      <c r="T735" s="7" t="str">
        <f>IF(AllDataApr[[#This Row],[Phosphate (PPM)]]&gt;0.5, "Very high", IF(AllDataApr[[#This Row],[Phosphate (PPM)]]&gt;0.1, "High", IF(AllDataApr[[#This Row],[Phosphate (PPM)]]&gt;0.05, "Some evidence", IF(AllDataApr[[#This Row],[Phosphate (PPM)]]=0, ""))))</f>
        <v>Very high</v>
      </c>
      <c r="U735">
        <v>0</v>
      </c>
    </row>
    <row r="736" spans="1:22" x14ac:dyDescent="0.3">
      <c r="A736" t="s">
        <v>1115</v>
      </c>
      <c r="B736" s="2">
        <v>45443</v>
      </c>
      <c r="C736" s="2" t="str" cm="1">
        <f t="array" ref="C736">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36">
        <f>YEAR(AllDataApr[[#This Row],[Date]])</f>
        <v>2024</v>
      </c>
      <c r="E736" s="1">
        <v>0.43958333333333333</v>
      </c>
      <c r="F736" s="2" t="str">
        <f>IF(AND(AllDataApr[[#This Row],[Time]]&lt;0.5, AllDataApr[[#This Row],[Time]]&gt;0.17)=TRUE, "Morning", IF(AND(AllDataApr[[#This Row],[Time]]&lt;0.75, AllDataApr[[#This Row],[Time]]&gt;=0.5)=TRUE, "Afternoon", IF(AND(AllDataApr[[#This Row],[Time]]&lt;1, AllDataApr[[#This Row],[Time]]&gt;=0.75)=TRUE, "Evening", "Night")))</f>
        <v>Morning</v>
      </c>
      <c r="G736" t="s">
        <v>11</v>
      </c>
      <c r="H736" t="str">
        <f>_xlfn.XLOOKUP(AllDataApr[[#This Row],[Location Name]], Locations[Row Labels],Locations[Group As])</f>
        <v>Carrant M5 Bridge</v>
      </c>
      <c r="I736" t="str">
        <f>_xlfn.XLOOKUP(AllDataApr[[#This Row],[Site Name]],LocationsKey[Site Name],LocationsKey[Region])</f>
        <v>Tewkesbury</v>
      </c>
      <c r="J736" t="str">
        <f>_xlfn.XLOOKUP(AllDataApr[[#This Row],[Site Name]],LocationsKey[Site Name], LocationsKey[Waterway])</f>
        <v>Carrant</v>
      </c>
      <c r="K736" t="s">
        <v>913</v>
      </c>
      <c r="L736">
        <v>52.015557999999999</v>
      </c>
      <c r="M736">
        <v>-2.1281810000000001</v>
      </c>
      <c r="N736" t="s">
        <v>14</v>
      </c>
      <c r="O736" s="7">
        <v>783</v>
      </c>
      <c r="P736">
        <v>14.8</v>
      </c>
      <c r="Q736" s="7">
        <v>5</v>
      </c>
      <c r="R736" s="7" t="str">
        <f>IF(AllDataApr[[#This Row],[Nitrate (PPM)]]&gt;2, "Very high", IF(AllDataApr[[#This Row],[Nitrate (PPM)]]&gt;1, "High", IF(AllDataApr[[#This Row],[Nitrate (PPM)]]&gt;0.5, "Some evidence", IF(AllDataApr[[#This Row],[Nitrate (PPM)]]&gt;0, "No evidence", IF(AllDataApr[[#This Row],[Nitrate (PPM)]]=0, "")))))</f>
        <v>Very high</v>
      </c>
      <c r="S736" s="7">
        <v>0.5</v>
      </c>
      <c r="T736" s="7" t="str">
        <f>IF(AllDataApr[[#This Row],[Phosphate (PPM)]]&gt;0.5, "Very high", IF(AllDataApr[[#This Row],[Phosphate (PPM)]]&gt;0.1, "High", IF(AllDataApr[[#This Row],[Phosphate (PPM)]]&gt;0.05, "Some evidence", IF(AllDataApr[[#This Row],[Phosphate (PPM)]]=0, ""))))</f>
        <v>High</v>
      </c>
      <c r="U736">
        <v>0</v>
      </c>
    </row>
    <row r="737" spans="1:21" x14ac:dyDescent="0.3">
      <c r="A737" t="s">
        <v>1114</v>
      </c>
      <c r="B737" s="2">
        <v>45443</v>
      </c>
      <c r="C737" s="2" t="str" cm="1">
        <f t="array" ref="C737">_xlfn.IFS(OR(MONTH(AllDataApr[[#This Row],[Date]])=6, MONTH(AllDataApr[[#This Row],[Date]])=7, MONTH(AllDataApr[[#This Row],[Date]])=8)=TRUE, "Summer", OR(MONTH(AllDataApr[[#This Row],[Date]])=9, MONTH(AllDataApr[[#This Row],[Date]])=10, MONTH(AllDataApr[[#This Row],[Date]])=11)=TRUE, "Autumn", OR(MONTH(AllDataApr[[#This Row],[Date]])=12, MONTH(AllDataApr[[#This Row],[Date]])=1, MONTH(AllDataApr[[#This Row],[Date]])=2)=TRUE, "Winter", OR(MONTH(AllDataApr[[#This Row],[Date]])=3, MONTH(AllDataApr[[#This Row],[Date]])=4, MONTH(AllDataApr[[#This Row],[Date]])=5)=TRUE, "Spring")</f>
        <v>Spring</v>
      </c>
      <c r="D737">
        <f>YEAR(AllDataApr[[#This Row],[Date]])</f>
        <v>2024</v>
      </c>
      <c r="E737" s="1">
        <v>0.625</v>
      </c>
      <c r="F737" s="2" t="str">
        <f>IF(AND(AllDataApr[[#This Row],[Time]]&lt;0.5, AllDataApr[[#This Row],[Time]]&gt;0.17)=TRUE, "Morning", IF(AND(AllDataApr[[#This Row],[Time]]&lt;0.75, AllDataApr[[#This Row],[Time]]&gt;=0.5)=TRUE, "Afternoon", IF(AND(AllDataApr[[#This Row],[Time]]&lt;1, AllDataApr[[#This Row],[Time]]&gt;=0.75)=TRUE, "Evening", "Night")))</f>
        <v>Afternoon</v>
      </c>
      <c r="G737" t="s">
        <v>277</v>
      </c>
      <c r="H737" t="str">
        <f>_xlfn.XLOOKUP(AllDataApr[[#This Row],[Location Name]], Locations[Row Labels],Locations[Group As])</f>
        <v>Mill Bridge Peopleton</v>
      </c>
      <c r="I737" t="str">
        <f>_xlfn.XLOOKUP(AllDataApr[[#This Row],[Site Name]],LocationsKey[Site Name],LocationsKey[Region])</f>
        <v>Pershore</v>
      </c>
      <c r="J737" t="str">
        <f>_xlfn.XLOOKUP(AllDataApr[[#This Row],[Site Name]],LocationsKey[Site Name], LocationsKey[Waterway])</f>
        <v>Bow Brook</v>
      </c>
      <c r="K737" t="s">
        <v>920</v>
      </c>
      <c r="L737">
        <v>52.151626</v>
      </c>
      <c r="M737">
        <v>-2.096444</v>
      </c>
      <c r="N737" t="s">
        <v>18</v>
      </c>
      <c r="O737" s="176">
        <v>989</v>
      </c>
      <c r="P737">
        <v>16</v>
      </c>
      <c r="Q737" s="176">
        <v>5</v>
      </c>
      <c r="R737" s="176" t="str">
        <f>IF(AllDataApr[[#This Row],[Nitrate (PPM)]]&gt;2, "Very high", IF(AllDataApr[[#This Row],[Nitrate (PPM)]]&gt;1, "High", IF(AllDataApr[[#This Row],[Nitrate (PPM)]]&gt;0.5, "Some evidence", IF(AllDataApr[[#This Row],[Nitrate (PPM)]]&gt;0, "No evidence", IF(AllDataApr[[#This Row],[Nitrate (PPM)]]=0, "")))))</f>
        <v>Very high</v>
      </c>
      <c r="S737" s="176">
        <v>1.93</v>
      </c>
      <c r="T737" s="176" t="str">
        <f>IF(AllDataApr[[#This Row],[Phosphate (PPM)]]&gt;0.5, "Very high", IF(AllDataApr[[#This Row],[Phosphate (PPM)]]&gt;0.1, "High", IF(AllDataApr[[#This Row],[Phosphate (PPM)]]&gt;0.05, "Some evidence", IF(AllDataApr[[#This Row],[Phosphate (PPM)]]=0, ""))))</f>
        <v>Very high</v>
      </c>
      <c r="U737">
        <v>0.6</v>
      </c>
    </row>
  </sheetData>
  <conditionalFormatting sqref="O2:O737">
    <cfRule type="colorScale" priority="9">
      <colorScale>
        <cfvo type="min"/>
        <cfvo type="max"/>
        <color rgb="FFFCFCFF"/>
        <color theme="4"/>
      </colorScale>
    </cfRule>
  </conditionalFormatting>
  <conditionalFormatting sqref="P2:P737">
    <cfRule type="colorScale" priority="1">
      <colorScale>
        <cfvo type="min"/>
        <cfvo type="percentile" val="50"/>
        <cfvo type="max"/>
        <color rgb="FF5A8AC6"/>
        <color rgb="FFFCFCFF"/>
        <color rgb="FFF8696B"/>
      </colorScale>
    </cfRule>
  </conditionalFormatting>
  <conditionalFormatting sqref="Q2:Q737">
    <cfRule type="colorScale" priority="10">
      <colorScale>
        <cfvo type="min"/>
        <cfvo type="max"/>
        <color rgb="FFFCFCFF"/>
        <color rgb="FFF8696B"/>
      </colorScale>
    </cfRule>
  </conditionalFormatting>
  <conditionalFormatting sqref="R2:R737 T2:T737">
    <cfRule type="cellIs" dxfId="5" priority="4" operator="equal">
      <formula>"Some evidence"</formula>
    </cfRule>
    <cfRule type="cellIs" dxfId="4" priority="5" operator="equal">
      <formula>"High"</formula>
    </cfRule>
    <cfRule type="cellIs" dxfId="3" priority="6" operator="equal">
      <formula>"Very high"</formula>
    </cfRule>
  </conditionalFormatting>
  <conditionalFormatting sqref="R2:R737">
    <cfRule type="cellIs" dxfId="2" priority="2" operator="equal">
      <formula>"No evidence"</formula>
    </cfRule>
  </conditionalFormatting>
  <conditionalFormatting sqref="S2:S737">
    <cfRule type="colorScale" priority="11">
      <colorScale>
        <cfvo type="min"/>
        <cfvo type="max"/>
        <color rgb="FFFCFCFF"/>
        <color rgb="FFF8696B"/>
      </colorScale>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7AB14-5F43-4210-8B87-45EA78CBCEBA}">
  <dimension ref="A1:O80"/>
  <sheetViews>
    <sheetView workbookViewId="0">
      <selection activeCell="M18" sqref="M18"/>
    </sheetView>
  </sheetViews>
  <sheetFormatPr defaultRowHeight="14.4" x14ac:dyDescent="0.3"/>
  <cols>
    <col min="1" max="1" width="44.33203125" bestFit="1" customWidth="1"/>
    <col min="2" max="2" width="19.77734375" customWidth="1"/>
    <col min="3" max="3" width="6.44140625" customWidth="1"/>
    <col min="4" max="4" width="7" customWidth="1"/>
    <col min="5" max="5" width="21.21875" customWidth="1"/>
    <col min="6" max="6" width="6.21875" customWidth="1"/>
    <col min="7" max="7" width="7.109375" customWidth="1"/>
    <col min="8" max="8" width="15.6640625" hidden="1" customWidth="1"/>
    <col min="9" max="9" width="17.21875" hidden="1" customWidth="1"/>
    <col min="10" max="10" width="35.21875" bestFit="1" customWidth="1"/>
    <col min="12" max="12" width="35.21875" bestFit="1" customWidth="1"/>
    <col min="13" max="13" width="18.5546875" bestFit="1" customWidth="1"/>
    <col min="14" max="14" width="15.5546875" bestFit="1" customWidth="1"/>
    <col min="15" max="15" width="42.21875" hidden="1" customWidth="1"/>
  </cols>
  <sheetData>
    <row r="1" spans="1:15" x14ac:dyDescent="0.3">
      <c r="A1" t="s">
        <v>181</v>
      </c>
      <c r="B1" t="s">
        <v>182</v>
      </c>
      <c r="C1" t="s">
        <v>1014</v>
      </c>
      <c r="D1" t="s">
        <v>1015</v>
      </c>
      <c r="E1" t="s">
        <v>183</v>
      </c>
      <c r="F1" t="s">
        <v>1016</v>
      </c>
      <c r="G1" t="s">
        <v>1017</v>
      </c>
      <c r="H1" t="s">
        <v>1018</v>
      </c>
      <c r="I1" t="s">
        <v>1019</v>
      </c>
      <c r="J1" t="s">
        <v>1020</v>
      </c>
      <c r="L1" t="s">
        <v>62</v>
      </c>
      <c r="M1" t="s">
        <v>1048</v>
      </c>
      <c r="N1" t="s">
        <v>186</v>
      </c>
      <c r="O1" t="s">
        <v>1034</v>
      </c>
    </row>
    <row r="2" spans="1:15" x14ac:dyDescent="0.3">
      <c r="A2" t="s">
        <v>13</v>
      </c>
      <c r="B2" s="3">
        <v>51.99147624137931</v>
      </c>
      <c r="C2" s="3">
        <v>51.989905999999998</v>
      </c>
      <c r="D2" s="3">
        <v>51.994824000000001</v>
      </c>
      <c r="E2" s="3">
        <v>-2.1617787241379309</v>
      </c>
      <c r="F2" s="3">
        <v>-2.16309</v>
      </c>
      <c r="G2" s="3">
        <v>-2.1510699999999998</v>
      </c>
      <c r="H2" s="3">
        <f t="shared" ref="H2:H33" si="0">D2-C2</f>
        <v>4.9180000000035307E-3</v>
      </c>
      <c r="I2" s="3">
        <f t="shared" ref="I2:I33" si="1">G2-F2</f>
        <v>1.2020000000000142E-2</v>
      </c>
      <c r="J2" t="s">
        <v>13</v>
      </c>
      <c r="L2" t="s">
        <v>13</v>
      </c>
      <c r="M2" t="s">
        <v>191</v>
      </c>
      <c r="N2" t="s">
        <v>187</v>
      </c>
      <c r="O2"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AV-TWK-Abbey Mill</v>
      </c>
    </row>
    <row r="3" spans="1:15" x14ac:dyDescent="0.3">
      <c r="A3" t="s">
        <v>128</v>
      </c>
      <c r="B3" s="3">
        <v>52.212526279999992</v>
      </c>
      <c r="C3" s="3">
        <v>52.206477999999997</v>
      </c>
      <c r="D3" s="3">
        <v>52.214388999999997</v>
      </c>
      <c r="E3" s="3">
        <v>-1.6602042799999999</v>
      </c>
      <c r="F3" s="3">
        <v>-1.660922</v>
      </c>
      <c r="G3" s="3">
        <v>-1.6584700000000001</v>
      </c>
      <c r="H3" s="3">
        <f t="shared" si="0"/>
        <v>7.9110000000000014E-3</v>
      </c>
      <c r="I3" s="3">
        <f t="shared" si="1"/>
        <v>2.4519999999998987E-3</v>
      </c>
      <c r="J3" t="s">
        <v>128</v>
      </c>
      <c r="L3" t="s">
        <v>128</v>
      </c>
      <c r="M3" t="s">
        <v>191</v>
      </c>
      <c r="N3" t="s">
        <v>185</v>
      </c>
      <c r="O3"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AV-SUA-Alveston Weir</v>
      </c>
    </row>
    <row r="4" spans="1:15" x14ac:dyDescent="0.3">
      <c r="A4" t="s">
        <v>909</v>
      </c>
      <c r="B4" s="3">
        <v>52.123492571428571</v>
      </c>
      <c r="C4" s="3">
        <v>52.122858999999998</v>
      </c>
      <c r="D4" s="3">
        <v>52.125045</v>
      </c>
      <c r="E4" s="3">
        <v>-2.0564267142857142</v>
      </c>
      <c r="F4" s="3">
        <v>-2.0575389999999998</v>
      </c>
      <c r="G4" s="3">
        <v>-2.053655</v>
      </c>
      <c r="H4" s="3">
        <f t="shared" si="0"/>
        <v>2.1860000000017976E-3</v>
      </c>
      <c r="I4" s="3">
        <f t="shared" si="1"/>
        <v>3.8839999999997765E-3</v>
      </c>
      <c r="J4" t="s">
        <v>909</v>
      </c>
      <c r="L4" t="s">
        <v>909</v>
      </c>
      <c r="M4" t="s">
        <v>191</v>
      </c>
      <c r="N4" t="s">
        <v>1035</v>
      </c>
      <c r="O4"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AV-PER-Avon Smiths Meadow Wyre Piddle</v>
      </c>
    </row>
    <row r="5" spans="1:15" x14ac:dyDescent="0.3">
      <c r="A5" t="s">
        <v>71</v>
      </c>
      <c r="B5" s="3"/>
      <c r="C5" s="3"/>
      <c r="D5" s="3"/>
      <c r="E5" s="3"/>
      <c r="F5" s="3"/>
      <c r="G5" s="3"/>
      <c r="H5" s="3">
        <f t="shared" si="0"/>
        <v>0</v>
      </c>
      <c r="I5" s="3">
        <f t="shared" si="1"/>
        <v>0</v>
      </c>
      <c r="J5" t="s">
        <v>41</v>
      </c>
      <c r="L5" t="s">
        <v>41</v>
      </c>
      <c r="M5" t="s">
        <v>191</v>
      </c>
      <c r="N5" t="s">
        <v>185</v>
      </c>
      <c r="O5"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AV-SUA-Avonbank Drive</v>
      </c>
    </row>
    <row r="6" spans="1:15" x14ac:dyDescent="0.3">
      <c r="A6" t="s">
        <v>41</v>
      </c>
      <c r="B6" s="3">
        <v>52.177195545454545</v>
      </c>
      <c r="C6" s="3">
        <v>52.177044000000002</v>
      </c>
      <c r="D6" s="3">
        <v>52.177464000000001</v>
      </c>
      <c r="E6" s="3">
        <v>-1.7357380909090911</v>
      </c>
      <c r="F6" s="3">
        <v>-1.7360610000000001</v>
      </c>
      <c r="G6" s="3">
        <v>-1.7353700000000001</v>
      </c>
      <c r="H6" s="3">
        <f t="shared" si="0"/>
        <v>4.1999999999831061E-4</v>
      </c>
      <c r="I6" s="3">
        <f t="shared" si="1"/>
        <v>6.9099999999999717E-4</v>
      </c>
      <c r="J6" t="s">
        <v>41</v>
      </c>
      <c r="L6" t="s">
        <v>29</v>
      </c>
      <c r="M6" t="s">
        <v>191</v>
      </c>
      <c r="N6" t="s">
        <v>185</v>
      </c>
      <c r="O6"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AV-SUA-Barton</v>
      </c>
    </row>
    <row r="7" spans="1:15" x14ac:dyDescent="0.3">
      <c r="A7" t="s">
        <v>29</v>
      </c>
      <c r="B7" s="3">
        <v>52.16120999999999</v>
      </c>
      <c r="C7" s="3">
        <v>52.161209999999997</v>
      </c>
      <c r="D7" s="3">
        <v>52.161209999999997</v>
      </c>
      <c r="E7" s="3">
        <v>-1.8301499999999999</v>
      </c>
      <c r="F7" s="3">
        <v>-1.8301499999999999</v>
      </c>
      <c r="G7" s="3">
        <v>-1.8301499999999999</v>
      </c>
      <c r="H7" s="3">
        <f t="shared" si="0"/>
        <v>0</v>
      </c>
      <c r="I7" s="3">
        <f t="shared" si="1"/>
        <v>0</v>
      </c>
      <c r="J7" t="s">
        <v>29</v>
      </c>
      <c r="L7" t="s">
        <v>279</v>
      </c>
      <c r="M7" t="s">
        <v>1037</v>
      </c>
      <c r="N7" t="s">
        <v>185</v>
      </c>
      <c r="O7"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OTH-SUA-Bell Brook 1</v>
      </c>
    </row>
    <row r="8" spans="1:15" x14ac:dyDescent="0.3">
      <c r="A8" t="s">
        <v>279</v>
      </c>
      <c r="B8" s="3">
        <v>52.244900000000001</v>
      </c>
      <c r="C8" s="3"/>
      <c r="D8" s="3"/>
      <c r="E8" s="3">
        <v>-1.6617</v>
      </c>
      <c r="F8" s="3"/>
      <c r="G8" s="3"/>
      <c r="H8" s="3">
        <f t="shared" si="0"/>
        <v>0</v>
      </c>
      <c r="I8" s="3">
        <f t="shared" si="1"/>
        <v>0</v>
      </c>
      <c r="J8" t="s">
        <v>279</v>
      </c>
      <c r="L8" t="s">
        <v>231</v>
      </c>
      <c r="M8" t="s">
        <v>191</v>
      </c>
      <c r="N8" t="s">
        <v>187</v>
      </c>
      <c r="O8"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AV-TWK-Black Bear</v>
      </c>
    </row>
    <row r="9" spans="1:15" x14ac:dyDescent="0.3">
      <c r="A9" t="s">
        <v>231</v>
      </c>
      <c r="B9" s="3">
        <v>51.997362999999993</v>
      </c>
      <c r="C9" s="3">
        <v>51.997185000000002</v>
      </c>
      <c r="D9" s="3">
        <v>51.997546999999997</v>
      </c>
      <c r="E9" s="3">
        <v>-2.1561669999999999</v>
      </c>
      <c r="F9" s="3">
        <v>-2.156412</v>
      </c>
      <c r="G9" s="3">
        <v>-2.155983</v>
      </c>
      <c r="H9" s="3">
        <f t="shared" si="0"/>
        <v>3.6199999999553256E-4</v>
      </c>
      <c r="I9" s="3">
        <f t="shared" si="1"/>
        <v>4.290000000000127E-4</v>
      </c>
      <c r="J9" t="s">
        <v>231</v>
      </c>
      <c r="L9" t="s">
        <v>179</v>
      </c>
      <c r="M9" t="s">
        <v>190</v>
      </c>
      <c r="N9" t="s">
        <v>187</v>
      </c>
      <c r="O9"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CA-TWK-Carrant Bredon Rd</v>
      </c>
    </row>
    <row r="10" spans="1:15" x14ac:dyDescent="0.3">
      <c r="A10" t="s">
        <v>179</v>
      </c>
      <c r="B10" s="3">
        <v>51.996662941176467</v>
      </c>
      <c r="C10" s="3">
        <v>51.994807999999999</v>
      </c>
      <c r="D10" s="3">
        <v>51.998399999999997</v>
      </c>
      <c r="E10" s="3">
        <v>-2.1551696470588233</v>
      </c>
      <c r="F10" s="3">
        <v>-2.1561300000000001</v>
      </c>
      <c r="G10" s="3">
        <v>-2.151078</v>
      </c>
      <c r="H10" s="3">
        <f t="shared" si="0"/>
        <v>3.5919999999975971E-3</v>
      </c>
      <c r="I10" s="3">
        <f t="shared" si="1"/>
        <v>5.0520000000000564E-3</v>
      </c>
      <c r="J10" t="s">
        <v>179</v>
      </c>
      <c r="L10" t="s">
        <v>1024</v>
      </c>
      <c r="M10" t="s">
        <v>190</v>
      </c>
      <c r="N10" t="s">
        <v>187</v>
      </c>
      <c r="O10"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CA-TWK-Carrant M5 Bridge</v>
      </c>
    </row>
    <row r="11" spans="1:15" x14ac:dyDescent="0.3">
      <c r="A11" t="s">
        <v>166</v>
      </c>
      <c r="B11" s="3"/>
      <c r="C11" s="3"/>
      <c r="D11" s="3"/>
      <c r="E11" s="3"/>
      <c r="F11" s="3"/>
      <c r="G11" s="3"/>
      <c r="H11" s="3">
        <f t="shared" si="0"/>
        <v>0</v>
      </c>
      <c r="I11" s="3">
        <f t="shared" si="1"/>
        <v>0</v>
      </c>
      <c r="J11" t="s">
        <v>179</v>
      </c>
      <c r="L11" t="s">
        <v>1022</v>
      </c>
      <c r="M11" t="s">
        <v>190</v>
      </c>
      <c r="N11" t="s">
        <v>187</v>
      </c>
      <c r="O11"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CA-TWK-Carrant Mitton Path</v>
      </c>
    </row>
    <row r="12" spans="1:15" x14ac:dyDescent="0.3">
      <c r="A12" t="s">
        <v>913</v>
      </c>
      <c r="B12" s="3">
        <v>52.022495999999997</v>
      </c>
      <c r="C12" s="3">
        <v>52.022495999999997</v>
      </c>
      <c r="D12" s="3">
        <v>52.022495999999997</v>
      </c>
      <c r="E12" s="3">
        <v>-2.1379350000000001</v>
      </c>
      <c r="F12" s="3">
        <v>-2.1379350000000001</v>
      </c>
      <c r="G12" s="3">
        <v>-2.1379350000000001</v>
      </c>
      <c r="H12" s="3">
        <f t="shared" si="0"/>
        <v>0</v>
      </c>
      <c r="I12" s="3">
        <f t="shared" si="1"/>
        <v>0</v>
      </c>
      <c r="J12" t="s">
        <v>1024</v>
      </c>
      <c r="L12" t="s">
        <v>1030</v>
      </c>
      <c r="M12" t="s">
        <v>192</v>
      </c>
      <c r="N12" t="s">
        <v>185</v>
      </c>
      <c r="O12"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ST-SUA-Clifford Chambers Mill Bridge</v>
      </c>
    </row>
    <row r="13" spans="1:15" x14ac:dyDescent="0.3">
      <c r="A13" t="s">
        <v>914</v>
      </c>
      <c r="B13" s="3">
        <v>51.999930999999997</v>
      </c>
      <c r="C13" s="3">
        <v>51.999930999999997</v>
      </c>
      <c r="D13" s="3">
        <v>51.999930999999997</v>
      </c>
      <c r="E13" s="3">
        <v>-2.1409120000000001</v>
      </c>
      <c r="F13" s="3">
        <v>-2.1409120000000001</v>
      </c>
      <c r="G13" s="3">
        <v>-2.1409120000000001</v>
      </c>
      <c r="H13" s="3">
        <f t="shared" si="0"/>
        <v>0</v>
      </c>
      <c r="I13" s="3">
        <f t="shared" si="1"/>
        <v>0</v>
      </c>
      <c r="J13" t="s">
        <v>1022</v>
      </c>
      <c r="L13" t="s">
        <v>1032</v>
      </c>
      <c r="M13" t="s">
        <v>192</v>
      </c>
      <c r="N13" t="s">
        <v>185</v>
      </c>
      <c r="O13"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ST-SUA-Clifford Chambers Road Bridge</v>
      </c>
    </row>
    <row r="14" spans="1:15" x14ac:dyDescent="0.3">
      <c r="A14" t="s">
        <v>923</v>
      </c>
      <c r="B14" s="3">
        <v>52.151504000000003</v>
      </c>
      <c r="C14" s="3">
        <v>52.151504000000003</v>
      </c>
      <c r="D14" s="3">
        <v>52.151504000000003</v>
      </c>
      <c r="E14" s="3">
        <v>-2.0960640000000001</v>
      </c>
      <c r="F14" s="3">
        <v>-2.0960640000000001</v>
      </c>
      <c r="G14" s="3">
        <v>-2.0960640000000001</v>
      </c>
      <c r="H14" s="3">
        <f t="shared" si="0"/>
        <v>0</v>
      </c>
      <c r="I14" s="3">
        <f t="shared" si="1"/>
        <v>0</v>
      </c>
      <c r="J14" t="s">
        <v>920</v>
      </c>
      <c r="L14" t="s">
        <v>910</v>
      </c>
      <c r="M14" t="s">
        <v>192</v>
      </c>
      <c r="N14" t="s">
        <v>188</v>
      </c>
      <c r="O14"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ST-SHP-Fell Mill Footbridge</v>
      </c>
    </row>
    <row r="15" spans="1:15" x14ac:dyDescent="0.3">
      <c r="A15" t="s">
        <v>113</v>
      </c>
      <c r="B15" s="3">
        <v>52.166370000000001</v>
      </c>
      <c r="C15" s="3">
        <v>52.166370000000001</v>
      </c>
      <c r="D15" s="3">
        <v>52.166370000000001</v>
      </c>
      <c r="E15" s="3">
        <v>-1.708032</v>
      </c>
      <c r="F15" s="3">
        <v>-1.708032</v>
      </c>
      <c r="G15" s="3">
        <v>-1.708032</v>
      </c>
      <c r="H15" s="3">
        <f t="shared" si="0"/>
        <v>0</v>
      </c>
      <c r="I15" s="3">
        <f t="shared" si="1"/>
        <v>0</v>
      </c>
      <c r="J15" t="s">
        <v>1030</v>
      </c>
      <c r="L15" t="s">
        <v>27</v>
      </c>
      <c r="M15" t="s">
        <v>191</v>
      </c>
      <c r="N15" t="s">
        <v>185</v>
      </c>
      <c r="O15"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AV-SUA-Hampton Lucy</v>
      </c>
    </row>
    <row r="16" spans="1:15" x14ac:dyDescent="0.3">
      <c r="A16" t="s">
        <v>119</v>
      </c>
      <c r="B16" s="3">
        <v>52.166355521739135</v>
      </c>
      <c r="C16" s="3">
        <v>52.166037000000003</v>
      </c>
      <c r="D16" s="3">
        <v>52.166370000000001</v>
      </c>
      <c r="E16" s="3">
        <v>-1.708032</v>
      </c>
      <c r="F16" s="3">
        <v>-1.708032</v>
      </c>
      <c r="G16" s="3">
        <v>-1.708032</v>
      </c>
      <c r="H16" s="3">
        <f t="shared" si="0"/>
        <v>3.3299999999769625E-4</v>
      </c>
      <c r="I16" s="3">
        <f t="shared" si="1"/>
        <v>0</v>
      </c>
      <c r="J16" t="s">
        <v>1030</v>
      </c>
      <c r="L16" t="s">
        <v>25</v>
      </c>
      <c r="M16" t="s">
        <v>191</v>
      </c>
      <c r="N16" t="s">
        <v>185</v>
      </c>
      <c r="O16"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AV-SUA-Hampton Wood</v>
      </c>
    </row>
    <row r="17" spans="1:15" x14ac:dyDescent="0.3">
      <c r="A17" t="s">
        <v>226</v>
      </c>
      <c r="B17" s="3">
        <v>52.172840000000001</v>
      </c>
      <c r="C17" s="3">
        <v>52.172840000000001</v>
      </c>
      <c r="D17" s="3">
        <v>52.172840000000001</v>
      </c>
      <c r="E17" s="3">
        <v>-1.71377</v>
      </c>
      <c r="F17" s="3">
        <v>-1.71377</v>
      </c>
      <c r="G17" s="3">
        <v>-1.71377</v>
      </c>
      <c r="H17" s="3">
        <f t="shared" si="0"/>
        <v>0</v>
      </c>
      <c r="I17" s="3">
        <f t="shared" si="1"/>
        <v>0</v>
      </c>
      <c r="J17" t="s">
        <v>1032</v>
      </c>
      <c r="L17" t="s">
        <v>1028</v>
      </c>
      <c r="M17" t="s">
        <v>1074</v>
      </c>
      <c r="N17" t="s">
        <v>188</v>
      </c>
      <c r="O17"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OTH-SHP-Ilmington Middle St</v>
      </c>
    </row>
    <row r="18" spans="1:15" x14ac:dyDescent="0.3">
      <c r="A18" t="s">
        <v>148</v>
      </c>
      <c r="B18" s="3">
        <v>52.166370000000001</v>
      </c>
      <c r="C18" s="3">
        <v>52.166370000000001</v>
      </c>
      <c r="D18" s="3">
        <v>52.166370000000001</v>
      </c>
      <c r="E18" s="3">
        <v>-1.7083200000000001</v>
      </c>
      <c r="F18" s="3">
        <v>-1.7083200000000001</v>
      </c>
      <c r="G18" s="3">
        <v>-1.7083200000000001</v>
      </c>
      <c r="H18" s="3">
        <f t="shared" si="0"/>
        <v>0</v>
      </c>
      <c r="I18" s="3">
        <f t="shared" si="1"/>
        <v>0</v>
      </c>
      <c r="J18" t="s">
        <v>1030</v>
      </c>
      <c r="L18" t="s">
        <v>234</v>
      </c>
      <c r="M18" t="s">
        <v>191</v>
      </c>
      <c r="N18" t="s">
        <v>187</v>
      </c>
      <c r="O18"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AV-TWK-Lower Lode</v>
      </c>
    </row>
    <row r="19" spans="1:15" x14ac:dyDescent="0.3">
      <c r="A19" t="s">
        <v>910</v>
      </c>
      <c r="B19" s="3">
        <v>52.069482000000001</v>
      </c>
      <c r="C19" s="3">
        <v>52.068274000000002</v>
      </c>
      <c r="D19" s="3">
        <v>52.070086000000003</v>
      </c>
      <c r="E19" s="3">
        <v>-1.6147953333333334</v>
      </c>
      <c r="F19" s="3">
        <v>-1.621486</v>
      </c>
      <c r="G19" s="3">
        <v>-1.61145</v>
      </c>
      <c r="H19" s="3">
        <f t="shared" si="0"/>
        <v>1.812000000001035E-3</v>
      </c>
      <c r="I19" s="3">
        <f t="shared" si="1"/>
        <v>1.0035999999999934E-2</v>
      </c>
      <c r="J19" t="s">
        <v>910</v>
      </c>
      <c r="L19" t="s">
        <v>920</v>
      </c>
      <c r="M19" t="s">
        <v>1040</v>
      </c>
      <c r="N19" t="s">
        <v>1035</v>
      </c>
      <c r="O19"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OTH-PER-Mill Bridge Peopleton</v>
      </c>
    </row>
    <row r="20" spans="1:15" x14ac:dyDescent="0.3">
      <c r="A20" t="s">
        <v>227</v>
      </c>
      <c r="B20" s="3">
        <v>52.070131000000003</v>
      </c>
      <c r="C20" s="3">
        <v>52.070131000000003</v>
      </c>
      <c r="D20" s="3">
        <v>52.070131000000003</v>
      </c>
      <c r="E20" s="3">
        <v>-1.6114870000000001</v>
      </c>
      <c r="F20" s="3">
        <v>-1.6114869999999999</v>
      </c>
      <c r="G20" s="3">
        <v>-1.6114869999999999</v>
      </c>
      <c r="H20" s="3">
        <f t="shared" si="0"/>
        <v>0</v>
      </c>
      <c r="I20" s="3">
        <f t="shared" si="1"/>
        <v>0</v>
      </c>
      <c r="J20" t="s">
        <v>910</v>
      </c>
      <c r="L20" t="s">
        <v>272</v>
      </c>
      <c r="M20" t="s">
        <v>191</v>
      </c>
      <c r="N20" t="s">
        <v>1035</v>
      </c>
      <c r="O20"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AV-PER-Pershore Bridges</v>
      </c>
    </row>
    <row r="21" spans="1:15" x14ac:dyDescent="0.3">
      <c r="A21" t="s">
        <v>27</v>
      </c>
      <c r="B21" s="3">
        <v>52.211679999999973</v>
      </c>
      <c r="C21" s="3">
        <v>52.211680000000001</v>
      </c>
      <c r="D21" s="3">
        <v>52.211680000000001</v>
      </c>
      <c r="E21" s="3">
        <v>-1.6244400000000001</v>
      </c>
      <c r="F21" s="3">
        <v>-1.6244400000000001</v>
      </c>
      <c r="G21" s="3">
        <v>-1.6244400000000001</v>
      </c>
      <c r="H21" s="3">
        <f t="shared" si="0"/>
        <v>0</v>
      </c>
      <c r="I21" s="3">
        <f t="shared" si="1"/>
        <v>0</v>
      </c>
      <c r="J21" t="s">
        <v>27</v>
      </c>
      <c r="L21" t="s">
        <v>271</v>
      </c>
      <c r="M21" t="s">
        <v>191</v>
      </c>
      <c r="N21" t="s">
        <v>1035</v>
      </c>
      <c r="O21"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AV-PER-Pershore Leisure Centre</v>
      </c>
    </row>
    <row r="22" spans="1:15" x14ac:dyDescent="0.3">
      <c r="A22" t="s">
        <v>25</v>
      </c>
      <c r="B22" s="3">
        <v>52.23814999999999</v>
      </c>
      <c r="C22" s="3">
        <v>52.238149999999997</v>
      </c>
      <c r="D22" s="3">
        <v>52.238149999999997</v>
      </c>
      <c r="E22" s="3">
        <v>-1.6245800000000008</v>
      </c>
      <c r="F22" s="3">
        <v>-1.6245799999999999</v>
      </c>
      <c r="G22" s="3">
        <v>-1.6245799999999999</v>
      </c>
      <c r="H22" s="3">
        <f t="shared" si="0"/>
        <v>0</v>
      </c>
      <c r="I22" s="3">
        <f t="shared" si="1"/>
        <v>0</v>
      </c>
      <c r="J22" t="s">
        <v>25</v>
      </c>
      <c r="L22" t="s">
        <v>908</v>
      </c>
      <c r="M22" t="s">
        <v>1041</v>
      </c>
      <c r="N22" t="s">
        <v>1035</v>
      </c>
      <c r="O22"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OTH-PER-Piddle Brook Wyre Piddle Bridge</v>
      </c>
    </row>
    <row r="23" spans="1:15" x14ac:dyDescent="0.3">
      <c r="A23" t="s">
        <v>94</v>
      </c>
      <c r="B23" s="3">
        <v>52.090074000000001</v>
      </c>
      <c r="C23" s="3">
        <v>52.090074000000001</v>
      </c>
      <c r="D23" s="3">
        <v>52.090074000000001</v>
      </c>
      <c r="E23" s="3">
        <v>-1.692588</v>
      </c>
      <c r="F23" s="3">
        <v>-1.692588</v>
      </c>
      <c r="G23" s="3">
        <v>-1.692588</v>
      </c>
      <c r="H23" s="3">
        <f t="shared" si="0"/>
        <v>0</v>
      </c>
      <c r="I23" s="3">
        <f t="shared" si="1"/>
        <v>0</v>
      </c>
      <c r="J23" t="s">
        <v>1028</v>
      </c>
      <c r="L23" t="s">
        <v>39</v>
      </c>
      <c r="M23" t="s">
        <v>191</v>
      </c>
      <c r="N23" t="s">
        <v>185</v>
      </c>
      <c r="O23"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AV-SUA-Pitch 16</v>
      </c>
    </row>
    <row r="24" spans="1:15" x14ac:dyDescent="0.3">
      <c r="A24" t="s">
        <v>230</v>
      </c>
      <c r="B24" s="3">
        <v>52.260425666666663</v>
      </c>
      <c r="C24" s="3">
        <v>52.259639</v>
      </c>
      <c r="D24" s="3">
        <v>52.269078999999998</v>
      </c>
      <c r="E24" s="3">
        <v>-1.7186226666666664</v>
      </c>
      <c r="F24" s="3">
        <v>-1.7232719999999999</v>
      </c>
      <c r="G24" s="3">
        <v>-1.7181999999999999</v>
      </c>
      <c r="H24" s="3">
        <f t="shared" si="0"/>
        <v>9.4399999999978945E-3</v>
      </c>
      <c r="I24" s="3">
        <f t="shared" si="1"/>
        <v>5.0719999999999654E-3</v>
      </c>
      <c r="J24" t="s">
        <v>228</v>
      </c>
      <c r="L24" t="s">
        <v>921</v>
      </c>
      <c r="M24" t="s">
        <v>921</v>
      </c>
      <c r="N24" t="s">
        <v>1036</v>
      </c>
      <c r="O24"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OTH-HEN-Preston Bagot Brook</v>
      </c>
    </row>
    <row r="25" spans="1:15" x14ac:dyDescent="0.3">
      <c r="A25" t="s">
        <v>234</v>
      </c>
      <c r="B25" s="3">
        <v>51.985033199999997</v>
      </c>
      <c r="C25" s="3">
        <v>51.984904999999998</v>
      </c>
      <c r="D25" s="3">
        <v>51.985100000000003</v>
      </c>
      <c r="E25" s="3">
        <v>-2.1742004000000001</v>
      </c>
      <c r="F25" s="3">
        <v>-2.1742699999999999</v>
      </c>
      <c r="G25" s="3">
        <v>-2.174159</v>
      </c>
      <c r="H25" s="3">
        <f t="shared" si="0"/>
        <v>1.9500000000505224E-4</v>
      </c>
      <c r="I25" s="3">
        <f t="shared" si="1"/>
        <v>1.1099999999997223E-4</v>
      </c>
      <c r="J25" t="s">
        <v>234</v>
      </c>
      <c r="L25" t="s">
        <v>922</v>
      </c>
      <c r="M25" t="s">
        <v>922</v>
      </c>
      <c r="N25" t="s">
        <v>1036</v>
      </c>
      <c r="O25"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OTH-HEN-Preston Bagot Canal</v>
      </c>
    </row>
    <row r="26" spans="1:15" x14ac:dyDescent="0.3">
      <c r="A26" t="s">
        <v>920</v>
      </c>
      <c r="B26" s="3">
        <v>52.151685999999998</v>
      </c>
      <c r="C26" s="3">
        <v>52.151685999999998</v>
      </c>
      <c r="D26" s="3">
        <v>52.151685999999998</v>
      </c>
      <c r="E26" s="3">
        <v>-2.0963069999999999</v>
      </c>
      <c r="F26" s="3">
        <v>-2.0963069999999999</v>
      </c>
      <c r="G26" s="3">
        <v>-2.0963069999999999</v>
      </c>
      <c r="H26" s="3">
        <f t="shared" si="0"/>
        <v>0</v>
      </c>
      <c r="I26" s="3">
        <f t="shared" si="1"/>
        <v>0</v>
      </c>
      <c r="J26" t="s">
        <v>920</v>
      </c>
      <c r="L26" t="s">
        <v>180</v>
      </c>
      <c r="M26" t="s">
        <v>192</v>
      </c>
      <c r="N26" t="s">
        <v>185</v>
      </c>
      <c r="O26"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ST-SUA-Preston-on-Stour River Bridge</v>
      </c>
    </row>
    <row r="27" spans="1:15" x14ac:dyDescent="0.3">
      <c r="A27" t="s">
        <v>916</v>
      </c>
      <c r="B27" s="3">
        <v>52.151646</v>
      </c>
      <c r="C27" s="3">
        <v>52.151646</v>
      </c>
      <c r="D27" s="3">
        <v>52.151646</v>
      </c>
      <c r="E27" s="3">
        <v>-2.096368</v>
      </c>
      <c r="F27" s="3">
        <v>-2.096368</v>
      </c>
      <c r="G27" s="3">
        <v>-2.096368</v>
      </c>
      <c r="H27" s="3">
        <f t="shared" si="0"/>
        <v>0</v>
      </c>
      <c r="I27" s="3">
        <f t="shared" si="1"/>
        <v>0</v>
      </c>
      <c r="J27" t="s">
        <v>920</v>
      </c>
      <c r="L27" t="s">
        <v>280</v>
      </c>
      <c r="M27" t="s">
        <v>1038</v>
      </c>
      <c r="N27" t="s">
        <v>185</v>
      </c>
      <c r="O27"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OTH-SUA-Sherbourne Brook 1</v>
      </c>
    </row>
    <row r="28" spans="1:15" x14ac:dyDescent="0.3">
      <c r="A28" t="s">
        <v>281</v>
      </c>
      <c r="B28" s="3">
        <v>52.151693999999999</v>
      </c>
      <c r="C28" s="3">
        <v>52.151693999999999</v>
      </c>
      <c r="D28" s="3">
        <v>52.151693999999999</v>
      </c>
      <c r="E28" s="3">
        <v>-2.0962040000000002</v>
      </c>
      <c r="F28" s="3">
        <v>-2.0962040000000002</v>
      </c>
      <c r="G28" s="3">
        <v>-2.0962040000000002</v>
      </c>
      <c r="H28" s="3">
        <f t="shared" si="0"/>
        <v>0</v>
      </c>
      <c r="I28" s="3">
        <f t="shared" si="1"/>
        <v>0</v>
      </c>
      <c r="J28" t="s">
        <v>920</v>
      </c>
      <c r="L28" t="s">
        <v>917</v>
      </c>
      <c r="M28" t="s">
        <v>1038</v>
      </c>
      <c r="N28" t="s">
        <v>185</v>
      </c>
      <c r="O28"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OTH-SUA-Sherbourne Brook 2</v>
      </c>
    </row>
    <row r="29" spans="1:15" x14ac:dyDescent="0.3">
      <c r="A29" t="s">
        <v>92</v>
      </c>
      <c r="B29" s="3">
        <v>52.113063000000004</v>
      </c>
      <c r="C29" s="3">
        <v>52.112833000000002</v>
      </c>
      <c r="D29" s="3">
        <v>52.113486999999999</v>
      </c>
      <c r="E29" s="3">
        <v>-1.6334063333333333</v>
      </c>
      <c r="F29" s="3">
        <v>-1.633435</v>
      </c>
      <c r="G29" s="3">
        <v>-1.6333500000000001</v>
      </c>
      <c r="H29" s="3">
        <f t="shared" si="0"/>
        <v>6.5399999999726788E-4</v>
      </c>
      <c r="I29" s="3">
        <f t="shared" si="1"/>
        <v>8.4999999999890719E-5</v>
      </c>
      <c r="J29" t="s">
        <v>1029</v>
      </c>
      <c r="L29" t="s">
        <v>1023</v>
      </c>
      <c r="M29" t="s">
        <v>192</v>
      </c>
      <c r="N29" t="s">
        <v>188</v>
      </c>
      <c r="O29"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ST-SHP-Stour Ascott Village</v>
      </c>
    </row>
    <row r="30" spans="1:15" x14ac:dyDescent="0.3">
      <c r="A30" t="s">
        <v>66</v>
      </c>
      <c r="B30" s="3">
        <v>52.11294711764706</v>
      </c>
      <c r="C30" s="3">
        <v>52.112769999999998</v>
      </c>
      <c r="D30" s="3">
        <v>52.113517000000002</v>
      </c>
      <c r="E30" s="3">
        <v>-1.6334189999999997</v>
      </c>
      <c r="F30" s="3">
        <v>-1.6335170000000001</v>
      </c>
      <c r="G30" s="3">
        <v>-1.633219</v>
      </c>
      <c r="H30" s="3">
        <f t="shared" si="0"/>
        <v>7.4700000000404998E-4</v>
      </c>
      <c r="I30" s="3">
        <f t="shared" si="1"/>
        <v>2.9800000000013149E-4</v>
      </c>
      <c r="J30" t="s">
        <v>1029</v>
      </c>
      <c r="L30" t="s">
        <v>1025</v>
      </c>
      <c r="M30" t="s">
        <v>192</v>
      </c>
      <c r="N30" t="s">
        <v>188</v>
      </c>
      <c r="O30"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ST-SHP-Stour Cherington Sewage Works</v>
      </c>
    </row>
    <row r="31" spans="1:15" x14ac:dyDescent="0.3">
      <c r="A31" t="s">
        <v>272</v>
      </c>
      <c r="B31" s="3">
        <v>52.104238799999997</v>
      </c>
      <c r="C31" s="3">
        <v>52.104179999999999</v>
      </c>
      <c r="D31" s="3">
        <v>52.104452999999999</v>
      </c>
      <c r="E31" s="3">
        <v>-2.0710009999999999</v>
      </c>
      <c r="F31" s="3">
        <v>-2.071342</v>
      </c>
      <c r="G31" s="3">
        <v>-2.0709089999999999</v>
      </c>
      <c r="H31" s="3">
        <f t="shared" si="0"/>
        <v>2.7299999999996771E-4</v>
      </c>
      <c r="I31" s="3">
        <f t="shared" si="1"/>
        <v>4.3300000000012773E-4</v>
      </c>
      <c r="J31" t="s">
        <v>272</v>
      </c>
      <c r="L31" t="s">
        <v>1029</v>
      </c>
      <c r="M31" t="s">
        <v>192</v>
      </c>
      <c r="N31" t="s">
        <v>188</v>
      </c>
      <c r="O31"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ST-SHP-Stour Newbold Mill</v>
      </c>
    </row>
    <row r="32" spans="1:15" x14ac:dyDescent="0.3">
      <c r="A32" t="s">
        <v>232</v>
      </c>
      <c r="B32" s="3">
        <v>52.108220000000003</v>
      </c>
      <c r="C32" s="3">
        <v>52.104145000000003</v>
      </c>
      <c r="D32" s="3">
        <v>52.112295000000003</v>
      </c>
      <c r="E32" s="3">
        <v>-2.0715195</v>
      </c>
      <c r="F32" s="3">
        <v>-2.072295</v>
      </c>
      <c r="G32" s="3">
        <v>-2.0707439999999999</v>
      </c>
      <c r="H32" s="3">
        <f t="shared" si="0"/>
        <v>8.1500000000005457E-3</v>
      </c>
      <c r="I32" s="3">
        <f t="shared" si="1"/>
        <v>1.5510000000000801E-3</v>
      </c>
      <c r="J32" t="s">
        <v>271</v>
      </c>
      <c r="L32" t="s">
        <v>1027</v>
      </c>
      <c r="M32" t="s">
        <v>192</v>
      </c>
      <c r="N32" t="s">
        <v>188</v>
      </c>
      <c r="O32"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ST-SHP-Stour Shipston Mill Bridge</v>
      </c>
    </row>
    <row r="33" spans="1:15" x14ac:dyDescent="0.3">
      <c r="A33" t="s">
        <v>908</v>
      </c>
      <c r="B33" s="3">
        <v>52.126388333333331</v>
      </c>
      <c r="C33" s="3">
        <v>52.126317</v>
      </c>
      <c r="D33" s="3">
        <v>52.126424</v>
      </c>
      <c r="E33" s="3">
        <v>-2.0564703333333338</v>
      </c>
      <c r="F33" s="3">
        <v>-2.0565760000000002</v>
      </c>
      <c r="G33" s="3">
        <v>-2.0561219999999998</v>
      </c>
      <c r="H33" s="3">
        <f t="shared" si="0"/>
        <v>1.0699999999985721E-4</v>
      </c>
      <c r="I33" s="3">
        <f t="shared" si="1"/>
        <v>4.5400000000039853E-4</v>
      </c>
      <c r="J33" t="s">
        <v>908</v>
      </c>
      <c r="L33" t="s">
        <v>1026</v>
      </c>
      <c r="M33" t="s">
        <v>192</v>
      </c>
      <c r="N33" t="s">
        <v>188</v>
      </c>
      <c r="O33"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ST-SHP-Stour Stretton-on-Fosse Sewage Works</v>
      </c>
    </row>
    <row r="34" spans="1:15" x14ac:dyDescent="0.3">
      <c r="A34" t="s">
        <v>39</v>
      </c>
      <c r="B34" s="3">
        <v>52.173674909090899</v>
      </c>
      <c r="C34" s="3">
        <v>52.170859</v>
      </c>
      <c r="D34" s="3">
        <v>52.179012999999998</v>
      </c>
      <c r="E34" s="3">
        <v>-1.7430645454545455</v>
      </c>
      <c r="F34" s="3">
        <v>-1.7454480000000001</v>
      </c>
      <c r="G34" s="3">
        <v>-1.7338849999999999</v>
      </c>
      <c r="H34" s="3">
        <f t="shared" ref="H34:H65" si="2">D34-C34</f>
        <v>8.1539999999975521E-3</v>
      </c>
      <c r="I34" s="3">
        <f t="shared" ref="I34:I65" si="3">G34-F34</f>
        <v>1.1563000000000212E-2</v>
      </c>
      <c r="J34" t="s">
        <v>39</v>
      </c>
      <c r="L34" t="s">
        <v>198</v>
      </c>
      <c r="M34" t="s">
        <v>192</v>
      </c>
      <c r="N34" t="s">
        <v>188</v>
      </c>
      <c r="O34"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ST-SHP-Stour Stretton-on-Fosse Village</v>
      </c>
    </row>
    <row r="35" spans="1:15" x14ac:dyDescent="0.3">
      <c r="A35" t="s">
        <v>1021</v>
      </c>
      <c r="B35" s="3">
        <v>50.831715000000003</v>
      </c>
      <c r="C35" s="3">
        <v>50.831715000000003</v>
      </c>
      <c r="D35" s="3">
        <v>50.831715000000003</v>
      </c>
      <c r="E35" s="3">
        <v>-0.306093</v>
      </c>
      <c r="F35" s="3">
        <v>-0.306093</v>
      </c>
      <c r="G35" s="3">
        <v>-0.306093</v>
      </c>
      <c r="H35" s="3">
        <f t="shared" si="2"/>
        <v>0</v>
      </c>
      <c r="I35" s="3">
        <f t="shared" si="3"/>
        <v>0</v>
      </c>
      <c r="J35" t="s">
        <v>39</v>
      </c>
      <c r="L35" t="s">
        <v>918</v>
      </c>
      <c r="M35" t="s">
        <v>192</v>
      </c>
      <c r="N35" t="s">
        <v>188</v>
      </c>
      <c r="O35"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ST-SHP-Stour Whichford</v>
      </c>
    </row>
    <row r="36" spans="1:15" x14ac:dyDescent="0.3">
      <c r="A36" t="s">
        <v>72</v>
      </c>
      <c r="B36" s="3">
        <v>52.172691999999998</v>
      </c>
      <c r="C36" s="3">
        <v>52.172691999999998</v>
      </c>
      <c r="D36" s="3">
        <v>52.172691999999998</v>
      </c>
      <c r="E36" s="3">
        <v>-1.7451950000000001</v>
      </c>
      <c r="F36" s="3">
        <v>-1.7451950000000001</v>
      </c>
      <c r="G36" s="3">
        <v>-1.7451950000000001</v>
      </c>
      <c r="H36" s="3">
        <f t="shared" si="2"/>
        <v>0</v>
      </c>
      <c r="I36" s="3">
        <f t="shared" si="3"/>
        <v>0</v>
      </c>
      <c r="J36" t="s">
        <v>39</v>
      </c>
      <c r="L36" t="s">
        <v>197</v>
      </c>
      <c r="M36" t="s">
        <v>192</v>
      </c>
      <c r="N36" t="s">
        <v>188</v>
      </c>
      <c r="O36"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ST-SHP-Stour Willington</v>
      </c>
    </row>
    <row r="37" spans="1:15" x14ac:dyDescent="0.3">
      <c r="A37" t="s">
        <v>921</v>
      </c>
      <c r="B37" s="3">
        <v>52.286000000000001</v>
      </c>
      <c r="C37" s="3"/>
      <c r="D37" s="3"/>
      <c r="E37" s="3">
        <v>-1.748</v>
      </c>
      <c r="F37" s="3"/>
      <c r="G37" s="3"/>
      <c r="H37" s="3">
        <f t="shared" si="2"/>
        <v>0</v>
      </c>
      <c r="I37" s="3">
        <f t="shared" si="3"/>
        <v>0</v>
      </c>
      <c r="J37" t="s">
        <v>921</v>
      </c>
      <c r="L37" t="s">
        <v>130</v>
      </c>
      <c r="M37" t="s">
        <v>191</v>
      </c>
      <c r="N37" t="s">
        <v>185</v>
      </c>
      <c r="O37"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AV-SUA-Swiffen Bank</v>
      </c>
    </row>
    <row r="38" spans="1:15" x14ac:dyDescent="0.3">
      <c r="A38" t="s">
        <v>922</v>
      </c>
      <c r="B38" s="3">
        <v>52.286499999999997</v>
      </c>
      <c r="C38" s="3"/>
      <c r="D38" s="3"/>
      <c r="E38" s="3">
        <v>-1.7457</v>
      </c>
      <c r="F38" s="3"/>
      <c r="G38" s="3"/>
      <c r="H38" s="3">
        <f t="shared" si="2"/>
        <v>0</v>
      </c>
      <c r="I38" s="3">
        <f t="shared" si="3"/>
        <v>0</v>
      </c>
      <c r="J38" t="s">
        <v>922</v>
      </c>
      <c r="L38" t="s">
        <v>193</v>
      </c>
      <c r="M38" t="s">
        <v>193</v>
      </c>
      <c r="N38" t="s">
        <v>187</v>
      </c>
      <c r="O38"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SW-TWK-Swilgate</v>
      </c>
    </row>
    <row r="39" spans="1:15" x14ac:dyDescent="0.3">
      <c r="A39" t="s">
        <v>69</v>
      </c>
      <c r="B39" s="3">
        <v>52.146562000000003</v>
      </c>
      <c r="C39" s="3">
        <v>52.146562000000003</v>
      </c>
      <c r="D39" s="3">
        <v>52.146562000000003</v>
      </c>
      <c r="E39" s="3">
        <v>-1.6991529999999999</v>
      </c>
      <c r="F39" s="3">
        <v>-1.6991529999999999</v>
      </c>
      <c r="G39" s="3">
        <v>-1.6991529999999999</v>
      </c>
      <c r="H39" s="3">
        <f t="shared" si="2"/>
        <v>0</v>
      </c>
      <c r="I39" s="3">
        <f t="shared" si="3"/>
        <v>0</v>
      </c>
      <c r="J39" t="s">
        <v>180</v>
      </c>
      <c r="L39" t="s">
        <v>56</v>
      </c>
      <c r="M39" t="s">
        <v>191</v>
      </c>
      <c r="N39" t="s">
        <v>185</v>
      </c>
      <c r="O39"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AV-SUA-Talton Lodge</v>
      </c>
    </row>
    <row r="40" spans="1:15" x14ac:dyDescent="0.3">
      <c r="A40" t="s">
        <v>60</v>
      </c>
      <c r="B40" s="3">
        <v>52.146448999999997</v>
      </c>
      <c r="C40" s="3">
        <v>52.146448999999997</v>
      </c>
      <c r="D40" s="3">
        <v>52.146448999999997</v>
      </c>
      <c r="E40" s="3">
        <v>-1.7003729999999999</v>
      </c>
      <c r="F40" s="3">
        <v>-1.7003729999999999</v>
      </c>
      <c r="G40" s="3">
        <v>-1.7003729999999999</v>
      </c>
      <c r="H40" s="3">
        <f t="shared" si="2"/>
        <v>0</v>
      </c>
      <c r="I40" s="3">
        <f t="shared" si="3"/>
        <v>0</v>
      </c>
      <c r="J40" t="s">
        <v>180</v>
      </c>
      <c r="L40" t="s">
        <v>228</v>
      </c>
      <c r="M40" t="s">
        <v>230</v>
      </c>
      <c r="N40" t="s">
        <v>1036</v>
      </c>
      <c r="O40"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OTH-HEN-The Ford, Langley</v>
      </c>
    </row>
    <row r="41" spans="1:15" x14ac:dyDescent="0.3">
      <c r="A41" t="s">
        <v>84</v>
      </c>
      <c r="B41" s="3">
        <v>52.146552999999997</v>
      </c>
      <c r="C41" s="3">
        <v>52.146552999999997</v>
      </c>
      <c r="D41" s="3">
        <v>52.146552999999997</v>
      </c>
      <c r="E41" s="3">
        <v>-1.6992370000000001</v>
      </c>
      <c r="F41" s="3">
        <v>-1.6992370000000001</v>
      </c>
      <c r="G41" s="3">
        <v>-1.6992370000000001</v>
      </c>
      <c r="H41" s="3">
        <f t="shared" si="2"/>
        <v>0</v>
      </c>
      <c r="I41" s="3">
        <f t="shared" si="3"/>
        <v>0</v>
      </c>
      <c r="J41" t="s">
        <v>180</v>
      </c>
      <c r="L41" t="s">
        <v>1033</v>
      </c>
      <c r="M41" t="s">
        <v>191</v>
      </c>
      <c r="N41" t="s">
        <v>185</v>
      </c>
      <c r="O41"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AV-SUA-Trinity Church</v>
      </c>
    </row>
    <row r="42" spans="1:15" x14ac:dyDescent="0.3">
      <c r="A42" t="s">
        <v>78</v>
      </c>
      <c r="B42" s="3">
        <v>52.146541608695664</v>
      </c>
      <c r="C42" s="3">
        <v>52.146436000000001</v>
      </c>
      <c r="D42" s="3">
        <v>52.146673999999997</v>
      </c>
      <c r="E42" s="3">
        <v>-1.6995909130434779</v>
      </c>
      <c r="F42" s="3">
        <v>-1.70031</v>
      </c>
      <c r="G42" s="3">
        <v>-1.6990339999999999</v>
      </c>
      <c r="H42" s="3">
        <f t="shared" si="2"/>
        <v>2.3799999999596366E-4</v>
      </c>
      <c r="I42" s="3">
        <f t="shared" si="3"/>
        <v>1.2760000000000549E-3</v>
      </c>
      <c r="J42" t="s">
        <v>180</v>
      </c>
      <c r="L42" t="s">
        <v>32</v>
      </c>
      <c r="M42" t="s">
        <v>191</v>
      </c>
      <c r="N42" t="s">
        <v>187</v>
      </c>
      <c r="O42"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AV-TWK-Twyning Fleet</v>
      </c>
    </row>
    <row r="43" spans="1:15" x14ac:dyDescent="0.3">
      <c r="A43" t="s">
        <v>123</v>
      </c>
      <c r="B43" s="3">
        <v>52.146653000000001</v>
      </c>
      <c r="C43" s="3">
        <v>52.146653000000001</v>
      </c>
      <c r="D43" s="3">
        <v>52.146653000000001</v>
      </c>
      <c r="E43" s="3">
        <v>-1.699214</v>
      </c>
      <c r="F43" s="3">
        <v>-1.699214</v>
      </c>
      <c r="G43" s="3">
        <v>-1.699214</v>
      </c>
      <c r="H43" s="3">
        <f t="shared" si="2"/>
        <v>0</v>
      </c>
      <c r="I43" s="3">
        <f t="shared" si="3"/>
        <v>0</v>
      </c>
      <c r="J43" t="s">
        <v>180</v>
      </c>
      <c r="L43" t="s">
        <v>915</v>
      </c>
      <c r="M43" t="s">
        <v>1040</v>
      </c>
      <c r="N43" t="s">
        <v>1035</v>
      </c>
      <c r="O43"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OTH-PER-Walcot Lane, Bow Brook Ford</v>
      </c>
    </row>
    <row r="44" spans="1:15" x14ac:dyDescent="0.3">
      <c r="A44" t="s">
        <v>236</v>
      </c>
      <c r="B44" s="3">
        <v>52.029713999999998</v>
      </c>
      <c r="C44" s="3">
        <v>52.029713999999998</v>
      </c>
      <c r="D44" s="3">
        <v>52.029713999999998</v>
      </c>
      <c r="E44" s="3">
        <v>-1.58226</v>
      </c>
      <c r="F44" s="3">
        <v>-1.58226</v>
      </c>
      <c r="G44" s="3">
        <v>-1.58226</v>
      </c>
      <c r="H44" s="3">
        <f t="shared" si="2"/>
        <v>0</v>
      </c>
      <c r="I44" s="3">
        <f t="shared" si="3"/>
        <v>0</v>
      </c>
      <c r="J44" t="s">
        <v>1025</v>
      </c>
      <c r="L44" t="s">
        <v>22</v>
      </c>
      <c r="M44" t="s">
        <v>191</v>
      </c>
      <c r="N44" t="s">
        <v>185</v>
      </c>
      <c r="O44"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AV-SUA-Welford Boat Station</v>
      </c>
    </row>
    <row r="45" spans="1:15" x14ac:dyDescent="0.3">
      <c r="A45" t="s">
        <v>924</v>
      </c>
      <c r="B45" s="3"/>
      <c r="C45" s="3"/>
      <c r="D45" s="3"/>
      <c r="E45" s="3"/>
      <c r="F45" s="3"/>
      <c r="G45" s="3"/>
      <c r="H45" s="3">
        <f t="shared" si="2"/>
        <v>0</v>
      </c>
      <c r="I45" s="3">
        <f t="shared" si="3"/>
        <v>0</v>
      </c>
      <c r="J45" t="s">
        <v>280</v>
      </c>
      <c r="L45" t="s">
        <v>1031</v>
      </c>
      <c r="M45" t="s">
        <v>191</v>
      </c>
      <c r="N45" t="s">
        <v>185</v>
      </c>
      <c r="O45" t="str">
        <f>IF(LocationsKey[[#This Row],[Waterway]]="Avon","AV",IF(LocationsKey[[#This Row],[Waterway]]="Stour","ST",IF(LocationsKey[[#This Row],[Waterway]]="Carrant","CA",IF(LocationsKey[[#This Row],[Waterway]]="Swilgate","SW","OTH"))))&amp;"-"&amp;IF(LocationsKey[[#This Row],[Region]]="Tewkesbury","TWK",IF(LocationsKey[[#This Row],[Region]]="Stratford","SUA",IF(LocationsKey[[#This Row],[Region]]="Shipston","SHP",IF(LocationsKey[[#This Row],[Region]]="Pershore","PER",IF(LocationsKey[[#This Row],[Region]]="Henley-in-Arden","HEN","OTH")))))&amp;"-"&amp;LocationsKey[[#This Row],[Site Name]]</f>
        <v>AV-SUA-Weston-on-Avon</v>
      </c>
    </row>
    <row r="46" spans="1:15" x14ac:dyDescent="0.3">
      <c r="A46" t="s">
        <v>280</v>
      </c>
      <c r="B46" s="3">
        <v>52.252499999999998</v>
      </c>
      <c r="C46" s="3"/>
      <c r="D46" s="3"/>
      <c r="E46" s="3">
        <v>-1.6685000000000001</v>
      </c>
      <c r="F46" s="3"/>
      <c r="G46" s="3"/>
      <c r="H46" s="3">
        <f t="shared" si="2"/>
        <v>0</v>
      </c>
      <c r="I46" s="3">
        <f t="shared" si="3"/>
        <v>0</v>
      </c>
      <c r="J46" t="s">
        <v>280</v>
      </c>
    </row>
    <row r="47" spans="1:15" x14ac:dyDescent="0.3">
      <c r="A47" t="s">
        <v>917</v>
      </c>
      <c r="B47" s="3"/>
      <c r="C47" s="3"/>
      <c r="D47" s="3"/>
      <c r="E47" s="3"/>
      <c r="F47" s="3"/>
      <c r="G47" s="3"/>
      <c r="H47" s="3">
        <f t="shared" si="2"/>
        <v>0</v>
      </c>
      <c r="I47" s="3">
        <f t="shared" si="3"/>
        <v>0</v>
      </c>
      <c r="J47" t="s">
        <v>917</v>
      </c>
    </row>
    <row r="48" spans="1:15" x14ac:dyDescent="0.3">
      <c r="A48" t="s">
        <v>165</v>
      </c>
      <c r="B48" s="3">
        <v>52.062004000000002</v>
      </c>
      <c r="C48" s="3">
        <v>52.061956000000002</v>
      </c>
      <c r="D48" s="3">
        <v>52.062137999999997</v>
      </c>
      <c r="E48" s="3">
        <v>-1.6218674</v>
      </c>
      <c r="F48" s="3">
        <v>-1.621983</v>
      </c>
      <c r="G48" s="3">
        <v>-1.6216660000000001</v>
      </c>
      <c r="H48" s="3">
        <f t="shared" si="2"/>
        <v>1.8199999999524152E-4</v>
      </c>
      <c r="I48" s="3">
        <f t="shared" si="3"/>
        <v>3.1699999999990069E-4</v>
      </c>
      <c r="J48" t="s">
        <v>1027</v>
      </c>
    </row>
    <row r="49" spans="1:10" x14ac:dyDescent="0.3">
      <c r="A49" t="s">
        <v>911</v>
      </c>
      <c r="B49" s="3">
        <v>52.013255999999998</v>
      </c>
      <c r="C49" s="3">
        <v>52.013255999999998</v>
      </c>
      <c r="D49" s="3">
        <v>52.013255999999998</v>
      </c>
      <c r="E49" s="3">
        <v>-1.5387710000000001</v>
      </c>
      <c r="F49" s="3">
        <v>-1.5387710000000001</v>
      </c>
      <c r="G49" s="3">
        <v>-1.5387710000000001</v>
      </c>
      <c r="H49" s="3">
        <f t="shared" si="2"/>
        <v>0</v>
      </c>
      <c r="I49" s="3">
        <f t="shared" si="3"/>
        <v>0</v>
      </c>
      <c r="J49" t="s">
        <v>1023</v>
      </c>
    </row>
    <row r="50" spans="1:10" x14ac:dyDescent="0.3">
      <c r="A50" t="s">
        <v>80</v>
      </c>
      <c r="B50" s="3">
        <v>52.062075999999998</v>
      </c>
      <c r="C50" s="3">
        <v>52.062075999999998</v>
      </c>
      <c r="D50" s="3">
        <v>52.062075999999998</v>
      </c>
      <c r="E50" s="3">
        <v>-1.621772</v>
      </c>
      <c r="F50" s="3">
        <v>-1.621772</v>
      </c>
      <c r="G50" s="3">
        <v>-1.621772</v>
      </c>
      <c r="H50" s="3">
        <f t="shared" si="2"/>
        <v>0</v>
      </c>
      <c r="I50" s="3">
        <f t="shared" si="3"/>
        <v>0</v>
      </c>
      <c r="J50" t="s">
        <v>1027</v>
      </c>
    </row>
    <row r="51" spans="1:10" x14ac:dyDescent="0.3">
      <c r="A51" t="s">
        <v>929</v>
      </c>
      <c r="B51" s="3">
        <v>52.113463000000003</v>
      </c>
      <c r="C51" s="3">
        <v>52.113463000000003</v>
      </c>
      <c r="D51" s="3">
        <v>52.113463000000003</v>
      </c>
      <c r="E51" s="3">
        <v>-1.633265</v>
      </c>
      <c r="F51" s="3">
        <v>-1.633265</v>
      </c>
      <c r="G51" s="3">
        <v>-1.633265</v>
      </c>
      <c r="H51" s="3">
        <f t="shared" si="2"/>
        <v>0</v>
      </c>
      <c r="I51" s="3">
        <f t="shared" si="3"/>
        <v>0</v>
      </c>
      <c r="J51" t="s">
        <v>1029</v>
      </c>
    </row>
    <row r="52" spans="1:10" x14ac:dyDescent="0.3">
      <c r="A52" t="s">
        <v>73</v>
      </c>
      <c r="B52" s="3">
        <v>52.062027</v>
      </c>
      <c r="C52" s="3">
        <v>52.062027</v>
      </c>
      <c r="D52" s="3">
        <v>52.062027</v>
      </c>
      <c r="E52" s="3">
        <v>-1.6216390000000001</v>
      </c>
      <c r="F52" s="3">
        <v>-1.6216390000000001</v>
      </c>
      <c r="G52" s="3">
        <v>-1.6216390000000001</v>
      </c>
      <c r="H52" s="3">
        <f t="shared" si="2"/>
        <v>0</v>
      </c>
      <c r="I52" s="3">
        <f t="shared" si="3"/>
        <v>0</v>
      </c>
      <c r="J52" t="s">
        <v>1027</v>
      </c>
    </row>
    <row r="53" spans="1:10" x14ac:dyDescent="0.3">
      <c r="A53" t="s">
        <v>926</v>
      </c>
      <c r="B53" s="3">
        <v>52.070126999999999</v>
      </c>
      <c r="C53" s="3">
        <v>52.070126999999999</v>
      </c>
      <c r="D53" s="3">
        <v>52.070126999999999</v>
      </c>
      <c r="E53" s="3">
        <v>-1.611599</v>
      </c>
      <c r="F53" s="3">
        <v>-1.611599</v>
      </c>
      <c r="G53" s="3">
        <v>-1.611599</v>
      </c>
      <c r="H53" s="3">
        <f t="shared" si="2"/>
        <v>0</v>
      </c>
      <c r="I53" s="3">
        <f t="shared" si="3"/>
        <v>0</v>
      </c>
      <c r="J53" t="s">
        <v>910</v>
      </c>
    </row>
    <row r="54" spans="1:10" x14ac:dyDescent="0.3">
      <c r="A54" t="s">
        <v>96</v>
      </c>
      <c r="B54" s="3">
        <v>52.062024999999998</v>
      </c>
      <c r="C54" s="3">
        <v>52.062024999999998</v>
      </c>
      <c r="D54" s="3">
        <v>52.062024999999998</v>
      </c>
      <c r="E54" s="3">
        <v>-1.621747</v>
      </c>
      <c r="F54" s="3">
        <v>-1.621747</v>
      </c>
      <c r="G54" s="3">
        <v>-1.621747</v>
      </c>
      <c r="H54" s="3">
        <f t="shared" si="2"/>
        <v>0</v>
      </c>
      <c r="I54" s="3">
        <f t="shared" si="3"/>
        <v>0</v>
      </c>
      <c r="J54" t="s">
        <v>1027</v>
      </c>
    </row>
    <row r="55" spans="1:10" x14ac:dyDescent="0.3">
      <c r="A55" t="s">
        <v>151</v>
      </c>
      <c r="B55" s="3">
        <v>52.045659857142859</v>
      </c>
      <c r="C55" s="3">
        <v>52.045603</v>
      </c>
      <c r="D55" s="3">
        <v>52.045724</v>
      </c>
      <c r="E55" s="3">
        <v>-1.6719242857142858</v>
      </c>
      <c r="F55" s="3">
        <v>-1.6719980000000001</v>
      </c>
      <c r="G55" s="3">
        <v>-1.6718580000000001</v>
      </c>
      <c r="H55" s="3">
        <f t="shared" si="2"/>
        <v>1.2100000000003774E-4</v>
      </c>
      <c r="I55" s="3">
        <f t="shared" si="3"/>
        <v>1.4000000000002899E-4</v>
      </c>
      <c r="J55" t="s">
        <v>1026</v>
      </c>
    </row>
    <row r="56" spans="1:10" x14ac:dyDescent="0.3">
      <c r="A56" t="s">
        <v>198</v>
      </c>
      <c r="B56" s="3">
        <v>52.046524928571422</v>
      </c>
      <c r="C56" s="3">
        <v>52.046470999999997</v>
      </c>
      <c r="D56" s="3">
        <v>52.046604000000002</v>
      </c>
      <c r="E56" s="3">
        <v>-1.6733929285714289</v>
      </c>
      <c r="F56" s="3">
        <v>-1.673462</v>
      </c>
      <c r="G56" s="3">
        <v>-1.673324</v>
      </c>
      <c r="H56" s="3">
        <f t="shared" si="2"/>
        <v>1.3300000000526779E-4</v>
      </c>
      <c r="I56" s="3">
        <f t="shared" si="3"/>
        <v>1.3799999999997148E-4</v>
      </c>
      <c r="J56" t="s">
        <v>198</v>
      </c>
    </row>
    <row r="57" spans="1:10" x14ac:dyDescent="0.3">
      <c r="A57" t="s">
        <v>161</v>
      </c>
      <c r="B57" s="3">
        <v>52.046520142857148</v>
      </c>
      <c r="C57" s="3">
        <v>52.046472000000001</v>
      </c>
      <c r="D57" s="3">
        <v>52.046579000000001</v>
      </c>
      <c r="E57" s="3">
        <v>-1.6734641428571433</v>
      </c>
      <c r="F57" s="3">
        <v>-1.6735249999999999</v>
      </c>
      <c r="G57" s="3">
        <v>-1.6733830000000001</v>
      </c>
      <c r="H57" s="3">
        <f t="shared" si="2"/>
        <v>1.0699999999985721E-4</v>
      </c>
      <c r="I57" s="3">
        <f t="shared" si="3"/>
        <v>1.4199999999986446E-4</v>
      </c>
      <c r="J57" t="s">
        <v>198</v>
      </c>
    </row>
    <row r="58" spans="1:10" x14ac:dyDescent="0.3">
      <c r="A58" t="s">
        <v>918</v>
      </c>
      <c r="B58" s="3">
        <v>52.017437000000001</v>
      </c>
      <c r="C58" s="3">
        <v>52.017437000000001</v>
      </c>
      <c r="D58" s="3">
        <v>52.017437000000001</v>
      </c>
      <c r="E58" s="3">
        <v>-1.544745</v>
      </c>
      <c r="F58" s="3">
        <v>-1.544745</v>
      </c>
      <c r="G58" s="3">
        <v>-1.544745</v>
      </c>
      <c r="H58" s="3">
        <f t="shared" si="2"/>
        <v>0</v>
      </c>
      <c r="I58" s="3">
        <f t="shared" si="3"/>
        <v>0</v>
      </c>
      <c r="J58" t="s">
        <v>918</v>
      </c>
    </row>
    <row r="59" spans="1:10" x14ac:dyDescent="0.3">
      <c r="A59" t="s">
        <v>912</v>
      </c>
      <c r="B59" s="3"/>
      <c r="C59" s="3"/>
      <c r="D59" s="3"/>
      <c r="E59" s="3"/>
      <c r="F59" s="3"/>
      <c r="G59" s="3"/>
      <c r="H59" s="3">
        <f t="shared" si="2"/>
        <v>0</v>
      </c>
      <c r="I59" s="3">
        <f t="shared" si="3"/>
        <v>0</v>
      </c>
      <c r="J59" t="s">
        <v>918</v>
      </c>
    </row>
    <row r="60" spans="1:10" x14ac:dyDescent="0.3">
      <c r="A60" t="s">
        <v>197</v>
      </c>
      <c r="B60" s="3">
        <v>52.052653142857146</v>
      </c>
      <c r="C60" s="3">
        <v>52.050897999999997</v>
      </c>
      <c r="D60" s="3">
        <v>52.053606000000002</v>
      </c>
      <c r="E60" s="3">
        <v>-1.617959642857143</v>
      </c>
      <c r="F60" s="3">
        <v>-1.620263</v>
      </c>
      <c r="G60" s="3">
        <v>-1.613686</v>
      </c>
      <c r="H60" s="3">
        <f t="shared" si="2"/>
        <v>2.7080000000054838E-3</v>
      </c>
      <c r="I60" s="3">
        <f t="shared" si="3"/>
        <v>6.577000000000055E-3</v>
      </c>
      <c r="J60" t="s">
        <v>197</v>
      </c>
    </row>
    <row r="61" spans="1:10" x14ac:dyDescent="0.3">
      <c r="A61" t="s">
        <v>143</v>
      </c>
      <c r="B61" s="3">
        <v>52.030172999999998</v>
      </c>
      <c r="C61" s="3">
        <v>52.030172999999998</v>
      </c>
      <c r="D61" s="3">
        <v>52.030172999999998</v>
      </c>
      <c r="E61" s="3">
        <v>-1.5791440000000001</v>
      </c>
      <c r="F61" s="3">
        <v>-1.5791440000000001</v>
      </c>
      <c r="G61" s="3">
        <v>-1.5791440000000001</v>
      </c>
      <c r="H61" s="3">
        <f t="shared" si="2"/>
        <v>0</v>
      </c>
      <c r="I61" s="3">
        <f t="shared" si="3"/>
        <v>0</v>
      </c>
      <c r="J61" t="s">
        <v>1025</v>
      </c>
    </row>
    <row r="62" spans="1:10" x14ac:dyDescent="0.3">
      <c r="A62" t="s">
        <v>90</v>
      </c>
      <c r="B62" s="3">
        <v>52.062021999999999</v>
      </c>
      <c r="C62" s="3">
        <v>52.062021999999999</v>
      </c>
      <c r="D62" s="3">
        <v>52.062021999999999</v>
      </c>
      <c r="E62" s="3">
        <v>-1.621729</v>
      </c>
      <c r="F62" s="3">
        <v>-1.621729</v>
      </c>
      <c r="G62" s="3">
        <v>-1.621729</v>
      </c>
      <c r="H62" s="3">
        <f t="shared" si="2"/>
        <v>0</v>
      </c>
      <c r="I62" s="3">
        <f t="shared" si="3"/>
        <v>0</v>
      </c>
      <c r="J62" t="s">
        <v>1027</v>
      </c>
    </row>
    <row r="63" spans="1:10" x14ac:dyDescent="0.3">
      <c r="A63" t="s">
        <v>74</v>
      </c>
      <c r="B63" s="3">
        <v>52.113387000000003</v>
      </c>
      <c r="C63" s="3">
        <v>52.113387000000003</v>
      </c>
      <c r="D63" s="3">
        <v>52.113387000000003</v>
      </c>
      <c r="E63" s="3">
        <v>-1.6333120000000001</v>
      </c>
      <c r="F63" s="3">
        <v>-1.6333120000000001</v>
      </c>
      <c r="G63" s="3">
        <v>-1.6333120000000001</v>
      </c>
      <c r="H63" s="3">
        <f t="shared" si="2"/>
        <v>0</v>
      </c>
      <c r="I63" s="3">
        <f t="shared" si="3"/>
        <v>0</v>
      </c>
      <c r="J63" t="s">
        <v>1029</v>
      </c>
    </row>
    <row r="64" spans="1:10" x14ac:dyDescent="0.3">
      <c r="A64" t="s">
        <v>98</v>
      </c>
      <c r="B64" s="3">
        <v>52.113520000000001</v>
      </c>
      <c r="C64" s="3">
        <v>52.113520000000001</v>
      </c>
      <c r="D64" s="3">
        <v>52.113520000000001</v>
      </c>
      <c r="E64" s="3">
        <v>-1.6333390000000001</v>
      </c>
      <c r="F64" s="3">
        <v>-1.6333390000000001</v>
      </c>
      <c r="G64" s="3">
        <v>-1.6333390000000001</v>
      </c>
      <c r="H64" s="3">
        <f t="shared" si="2"/>
        <v>0</v>
      </c>
      <c r="I64" s="3">
        <f t="shared" si="3"/>
        <v>0</v>
      </c>
      <c r="J64" t="s">
        <v>1029</v>
      </c>
    </row>
    <row r="65" spans="1:10" x14ac:dyDescent="0.3">
      <c r="A65" t="s">
        <v>928</v>
      </c>
      <c r="B65" s="3">
        <v>52.113449000000003</v>
      </c>
      <c r="C65" s="3">
        <v>52.113449000000003</v>
      </c>
      <c r="D65" s="3">
        <v>52.113449000000003</v>
      </c>
      <c r="E65" s="3">
        <v>-1.63317</v>
      </c>
      <c r="F65" s="3">
        <v>-1.63317</v>
      </c>
      <c r="G65" s="3">
        <v>-1.63317</v>
      </c>
      <c r="H65" s="3">
        <f t="shared" si="2"/>
        <v>0</v>
      </c>
      <c r="I65" s="3">
        <f t="shared" si="3"/>
        <v>0</v>
      </c>
      <c r="J65" t="s">
        <v>1029</v>
      </c>
    </row>
    <row r="66" spans="1:10" x14ac:dyDescent="0.3">
      <c r="A66" t="s">
        <v>925</v>
      </c>
      <c r="B66" s="3"/>
      <c r="C66" s="3"/>
      <c r="D66" s="3"/>
      <c r="E66" s="3"/>
      <c r="F66" s="3"/>
      <c r="G66" s="3"/>
      <c r="H66" s="3">
        <f t="shared" ref="H66:H80" si="4">D66-C66</f>
        <v>0</v>
      </c>
      <c r="I66" s="3">
        <f t="shared" ref="I66:I80" si="5">G66-F66</f>
        <v>0</v>
      </c>
      <c r="J66" t="s">
        <v>1029</v>
      </c>
    </row>
    <row r="67" spans="1:10" x14ac:dyDescent="0.3">
      <c r="A67" t="s">
        <v>927</v>
      </c>
      <c r="B67" s="3">
        <v>52.113517999999999</v>
      </c>
      <c r="C67" s="3">
        <v>52.113517999999999</v>
      </c>
      <c r="D67" s="3">
        <v>52.113517999999999</v>
      </c>
      <c r="E67" s="3">
        <v>-1.633165</v>
      </c>
      <c r="F67" s="3">
        <v>-1.633165</v>
      </c>
      <c r="G67" s="3">
        <v>-1.633165</v>
      </c>
      <c r="H67" s="3">
        <f t="shared" si="4"/>
        <v>0</v>
      </c>
      <c r="I67" s="3">
        <f t="shared" si="5"/>
        <v>0</v>
      </c>
      <c r="J67" t="s">
        <v>1029</v>
      </c>
    </row>
    <row r="68" spans="1:10" x14ac:dyDescent="0.3">
      <c r="A68" t="s">
        <v>144</v>
      </c>
      <c r="B68" s="3">
        <v>52.062001499999994</v>
      </c>
      <c r="C68" s="3">
        <v>52.061971999999997</v>
      </c>
      <c r="D68" s="3">
        <v>52.062030999999998</v>
      </c>
      <c r="E68" s="3">
        <v>-1.62188</v>
      </c>
      <c r="F68" s="3">
        <v>-1.6221080000000001</v>
      </c>
      <c r="G68" s="3">
        <v>-1.6216520000000001</v>
      </c>
      <c r="H68" s="3">
        <f t="shared" si="4"/>
        <v>5.9000000000253294E-5</v>
      </c>
      <c r="I68" s="3">
        <f t="shared" si="5"/>
        <v>4.5600000000001195E-4</v>
      </c>
      <c r="J68" t="s">
        <v>1027</v>
      </c>
    </row>
    <row r="69" spans="1:10" x14ac:dyDescent="0.3">
      <c r="A69" t="s">
        <v>130</v>
      </c>
      <c r="B69" s="3">
        <v>52.206490217391298</v>
      </c>
      <c r="C69" s="3">
        <v>52.205849000000001</v>
      </c>
      <c r="D69" s="3">
        <v>52.207673</v>
      </c>
      <c r="E69" s="3">
        <v>-1.6543492608695656</v>
      </c>
      <c r="F69" s="3">
        <v>-1.6584449999999999</v>
      </c>
      <c r="G69" s="3">
        <v>-1.653894</v>
      </c>
      <c r="H69" s="3">
        <f t="shared" si="4"/>
        <v>1.8239999999991596E-3</v>
      </c>
      <c r="I69" s="3">
        <f t="shared" si="5"/>
        <v>4.5509999999999717E-3</v>
      </c>
      <c r="J69" t="s">
        <v>130</v>
      </c>
    </row>
    <row r="70" spans="1:10" x14ac:dyDescent="0.3">
      <c r="A70" t="s">
        <v>164</v>
      </c>
      <c r="B70" s="3"/>
      <c r="C70" s="3"/>
      <c r="D70" s="3"/>
      <c r="E70" s="3"/>
      <c r="F70" s="3"/>
      <c r="G70" s="3"/>
      <c r="H70" s="3">
        <f t="shared" si="4"/>
        <v>0</v>
      </c>
      <c r="I70" s="3">
        <f t="shared" si="5"/>
        <v>0</v>
      </c>
      <c r="J70" t="s">
        <v>193</v>
      </c>
    </row>
    <row r="71" spans="1:10" x14ac:dyDescent="0.3">
      <c r="A71" t="s">
        <v>196</v>
      </c>
      <c r="B71" s="3">
        <v>51.988512</v>
      </c>
      <c r="C71" s="3">
        <v>51.988512</v>
      </c>
      <c r="D71" s="3">
        <v>51.988512</v>
      </c>
      <c r="E71" s="3">
        <v>-2.1639599999999999</v>
      </c>
      <c r="F71" s="3">
        <v>-2.1639599999999999</v>
      </c>
      <c r="G71" s="3">
        <v>-2.1639599999999999</v>
      </c>
      <c r="H71" s="3">
        <f t="shared" si="4"/>
        <v>0</v>
      </c>
      <c r="I71" s="3">
        <f t="shared" si="5"/>
        <v>0</v>
      </c>
      <c r="J71" t="s">
        <v>193</v>
      </c>
    </row>
    <row r="72" spans="1:10" x14ac:dyDescent="0.3">
      <c r="A72" t="s">
        <v>47</v>
      </c>
      <c r="B72" s="3">
        <v>51.988576000000002</v>
      </c>
      <c r="C72" s="3">
        <v>51.988522000000003</v>
      </c>
      <c r="D72" s="3">
        <v>51.988615000000003</v>
      </c>
      <c r="E72" s="3">
        <v>-2.1638033333333335</v>
      </c>
      <c r="F72" s="3">
        <v>-2.1640419999999998</v>
      </c>
      <c r="G72" s="3">
        <v>-2.1636660000000001</v>
      </c>
      <c r="H72" s="3">
        <f t="shared" si="4"/>
        <v>9.2999999999676675E-5</v>
      </c>
      <c r="I72" s="3">
        <f t="shared" si="5"/>
        <v>3.759999999997099E-4</v>
      </c>
      <c r="J72" t="s">
        <v>193</v>
      </c>
    </row>
    <row r="73" spans="1:10" x14ac:dyDescent="0.3">
      <c r="A73" t="s">
        <v>56</v>
      </c>
      <c r="B73" s="3">
        <v>52.120947999999999</v>
      </c>
      <c r="C73" s="3">
        <v>52.120947999999999</v>
      </c>
      <c r="D73" s="3">
        <v>52.120947999999999</v>
      </c>
      <c r="E73" s="3">
        <v>-1.6505399999999999</v>
      </c>
      <c r="F73" s="3">
        <v>-1.6505399999999999</v>
      </c>
      <c r="G73" s="3">
        <v>-1.6505399999999999</v>
      </c>
      <c r="H73" s="3">
        <f t="shared" si="4"/>
        <v>0</v>
      </c>
      <c r="I73" s="3">
        <f t="shared" si="5"/>
        <v>0</v>
      </c>
      <c r="J73" t="s">
        <v>56</v>
      </c>
    </row>
    <row r="74" spans="1:10" x14ac:dyDescent="0.3">
      <c r="A74" t="s">
        <v>86</v>
      </c>
      <c r="B74" s="3">
        <v>52.187393</v>
      </c>
      <c r="C74" s="3">
        <v>52.187393</v>
      </c>
      <c r="D74" s="3">
        <v>52.187393</v>
      </c>
      <c r="E74" s="3">
        <v>-1.706607</v>
      </c>
      <c r="F74" s="3">
        <v>-1.706607</v>
      </c>
      <c r="G74" s="3">
        <v>-1.706607</v>
      </c>
      <c r="H74" s="3">
        <f t="shared" si="4"/>
        <v>0</v>
      </c>
      <c r="I74" s="3">
        <f t="shared" si="5"/>
        <v>0</v>
      </c>
      <c r="J74" t="s">
        <v>1033</v>
      </c>
    </row>
    <row r="75" spans="1:10" x14ac:dyDescent="0.3">
      <c r="A75" t="s">
        <v>228</v>
      </c>
      <c r="B75" s="3">
        <v>52.259639</v>
      </c>
      <c r="C75" s="3">
        <v>52.259639</v>
      </c>
      <c r="D75" s="3">
        <v>52.259639</v>
      </c>
      <c r="E75" s="3">
        <v>-1.7181999999999999</v>
      </c>
      <c r="F75" s="3">
        <v>-1.7181999999999999</v>
      </c>
      <c r="G75" s="3">
        <v>-1.7181999999999999</v>
      </c>
      <c r="H75" s="3">
        <f t="shared" si="4"/>
        <v>0</v>
      </c>
      <c r="I75" s="3">
        <f t="shared" si="5"/>
        <v>0</v>
      </c>
      <c r="J75" t="s">
        <v>228</v>
      </c>
    </row>
    <row r="76" spans="1:10" x14ac:dyDescent="0.3">
      <c r="A76" t="s">
        <v>32</v>
      </c>
      <c r="B76" s="3">
        <v>52.027138375000007</v>
      </c>
      <c r="C76" s="3">
        <v>52.026986999999998</v>
      </c>
      <c r="D76" s="3">
        <v>52.027461000000002</v>
      </c>
      <c r="E76" s="3">
        <v>-2.1406215</v>
      </c>
      <c r="F76" s="3">
        <v>-2.1407449999999999</v>
      </c>
      <c r="G76" s="3">
        <v>-2.1405219999999998</v>
      </c>
      <c r="H76" s="3">
        <f t="shared" si="4"/>
        <v>4.7400000000408227E-4</v>
      </c>
      <c r="I76" s="3">
        <f t="shared" si="5"/>
        <v>2.2300000000008424E-4</v>
      </c>
      <c r="J76" t="s">
        <v>32</v>
      </c>
    </row>
    <row r="77" spans="1:10" x14ac:dyDescent="0.3">
      <c r="A77" t="s">
        <v>919</v>
      </c>
      <c r="B77" s="3">
        <v>52.130540000000003</v>
      </c>
      <c r="C77" s="3">
        <v>52.130540000000003</v>
      </c>
      <c r="D77" s="3">
        <v>52.130540000000003</v>
      </c>
      <c r="E77" s="3">
        <v>-2.0785439999999999</v>
      </c>
      <c r="F77" s="3">
        <v>-2.0785439999999999</v>
      </c>
      <c r="G77" s="3">
        <v>-2.0785439999999999</v>
      </c>
      <c r="H77" s="3">
        <f t="shared" si="4"/>
        <v>0</v>
      </c>
      <c r="I77" s="3">
        <f t="shared" si="5"/>
        <v>0</v>
      </c>
      <c r="J77" t="s">
        <v>915</v>
      </c>
    </row>
    <row r="78" spans="1:10" x14ac:dyDescent="0.3">
      <c r="A78" t="s">
        <v>915</v>
      </c>
      <c r="B78" s="3">
        <v>52.130459000000002</v>
      </c>
      <c r="C78" s="3">
        <v>52.130406999999998</v>
      </c>
      <c r="D78" s="3">
        <v>52.130482000000001</v>
      </c>
      <c r="E78" s="3">
        <v>-2.078481</v>
      </c>
      <c r="F78" s="3">
        <v>-2.0785809999999998</v>
      </c>
      <c r="G78" s="3">
        <v>-2.0783399999999999</v>
      </c>
      <c r="H78" s="3">
        <f t="shared" si="4"/>
        <v>7.5000000002489742E-5</v>
      </c>
      <c r="I78" s="3">
        <f t="shared" si="5"/>
        <v>2.4099999999993571E-4</v>
      </c>
      <c r="J78" t="s">
        <v>915</v>
      </c>
    </row>
    <row r="79" spans="1:10" x14ac:dyDescent="0.3">
      <c r="A79" t="s">
        <v>22</v>
      </c>
      <c r="B79" s="3">
        <v>52.175174684210546</v>
      </c>
      <c r="C79" s="3">
        <v>52.173999000000002</v>
      </c>
      <c r="D79" s="3">
        <v>52.175240000000002</v>
      </c>
      <c r="E79" s="3">
        <v>-1.7918551052631577</v>
      </c>
      <c r="F79" s="3">
        <v>-1.7918700000000001</v>
      </c>
      <c r="G79" s="3">
        <v>-1.791587</v>
      </c>
      <c r="H79" s="3">
        <f t="shared" si="4"/>
        <v>1.2410000000002697E-3</v>
      </c>
      <c r="I79" s="3">
        <f t="shared" si="5"/>
        <v>2.8300000000003322E-4</v>
      </c>
      <c r="J79" t="s">
        <v>22</v>
      </c>
    </row>
    <row r="80" spans="1:10" x14ac:dyDescent="0.3">
      <c r="A80" t="s">
        <v>23</v>
      </c>
      <c r="B80" s="3">
        <v>52.167429999999996</v>
      </c>
      <c r="C80" s="3">
        <v>52.167430000000003</v>
      </c>
      <c r="D80" s="3">
        <v>52.167430000000003</v>
      </c>
      <c r="E80" s="3">
        <v>-1.7744752941176474</v>
      </c>
      <c r="F80" s="3">
        <v>-1.7744800000000001</v>
      </c>
      <c r="G80" s="3">
        <v>-1.7744</v>
      </c>
      <c r="H80" s="3">
        <f t="shared" si="4"/>
        <v>0</v>
      </c>
      <c r="I80" s="3">
        <f t="shared" si="5"/>
        <v>8.0000000000080007E-5</v>
      </c>
      <c r="J80" t="s">
        <v>1031</v>
      </c>
    </row>
  </sheetData>
  <conditionalFormatting sqref="H2:I80">
    <cfRule type="colorScale" priority="1">
      <colorScale>
        <cfvo type="min"/>
        <cfvo type="max"/>
        <color rgb="FFFCFCFF"/>
        <color rgb="FFF8696B"/>
      </colorScale>
    </cfRule>
  </conditionalFormatting>
  <pageMargins left="0.7" right="0.7" top="0.75" bottom="0.75" header="0.3" footer="0.3"/>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109FA-FCE8-4FB2-8DE0-509B32FC351D}">
  <dimension ref="A1:AH111"/>
  <sheetViews>
    <sheetView zoomScale="89" workbookViewId="0"/>
  </sheetViews>
  <sheetFormatPr defaultRowHeight="14.4" x14ac:dyDescent="0.3"/>
  <cols>
    <col min="1" max="1" width="2.109375" customWidth="1"/>
    <col min="2" max="2" width="39.44140625" bestFit="1" customWidth="1"/>
    <col min="3" max="3" width="11.6640625" bestFit="1" customWidth="1"/>
    <col min="4" max="4" width="13.33203125" bestFit="1" customWidth="1"/>
    <col min="5" max="5" width="22.88671875" customWidth="1"/>
    <col min="6" max="6" width="20.33203125" bestFit="1" customWidth="1"/>
    <col min="7" max="7" width="20.77734375" bestFit="1" customWidth="1"/>
    <col min="8" max="8" width="8.21875" bestFit="1" customWidth="1"/>
    <col min="9" max="9" width="14.5546875" customWidth="1"/>
    <col min="10" max="10" width="12.109375" bestFit="1" customWidth="1"/>
    <col min="11" max="11" width="19.77734375" customWidth="1"/>
    <col min="12" max="12" width="21.109375" customWidth="1"/>
    <col min="13" max="13" width="19.77734375" customWidth="1"/>
    <col min="14" max="14" width="19.88671875" customWidth="1"/>
    <col min="15" max="15" width="8.21875" bestFit="1" customWidth="1"/>
    <col min="16" max="16" width="8.5546875" bestFit="1" customWidth="1"/>
    <col min="17" max="17" width="14" customWidth="1"/>
    <col min="18" max="18" width="11" bestFit="1" customWidth="1"/>
    <col min="19" max="19" width="13.88671875" customWidth="1"/>
    <col min="20" max="20" width="8.21875" bestFit="1" customWidth="1"/>
    <col min="21" max="21" width="7.88671875" bestFit="1" customWidth="1"/>
    <col min="22" max="22" width="14.5546875" customWidth="1"/>
    <col min="23" max="23" width="11" bestFit="1" customWidth="1"/>
    <col min="24" max="24" width="14.109375" customWidth="1"/>
    <col min="25" max="25" width="8.21875" bestFit="1" customWidth="1"/>
    <col min="26" max="26" width="7.88671875" bestFit="1" customWidth="1"/>
    <col min="27" max="27" width="14.88671875" customWidth="1"/>
    <col min="28" max="28" width="11" bestFit="1" customWidth="1"/>
    <col min="29" max="29" width="14.44140625" customWidth="1"/>
    <col min="30" max="30" width="8.21875" bestFit="1" customWidth="1"/>
    <col min="31" max="31" width="7.88671875" bestFit="1" customWidth="1"/>
    <col min="32" max="32" width="15.44140625" customWidth="1"/>
    <col min="33" max="33" width="11.77734375" customWidth="1"/>
    <col min="34" max="34" width="11.44140625" customWidth="1"/>
  </cols>
  <sheetData>
    <row r="1" spans="1:34" ht="15" thickBot="1" x14ac:dyDescent="0.35"/>
    <row r="2" spans="1:34" x14ac:dyDescent="0.3">
      <c r="B2" s="15" t="s">
        <v>1049</v>
      </c>
      <c r="C2" s="14"/>
      <c r="D2" s="182" t="s">
        <v>1050</v>
      </c>
      <c r="E2" s="183"/>
      <c r="F2" s="183"/>
      <c r="G2" s="183"/>
      <c r="H2" s="183"/>
      <c r="I2" s="183"/>
      <c r="J2" s="183"/>
      <c r="K2" s="184"/>
    </row>
    <row r="3" spans="1:34" x14ac:dyDescent="0.3">
      <c r="B3" s="16" t="s">
        <v>1051</v>
      </c>
      <c r="C3" s="14"/>
      <c r="D3" s="17" t="s">
        <v>1108</v>
      </c>
      <c r="E3" s="18" t="s">
        <v>1052</v>
      </c>
      <c r="F3" s="197" t="s">
        <v>1053</v>
      </c>
      <c r="G3" s="198"/>
      <c r="H3" s="197" t="s">
        <v>1070</v>
      </c>
      <c r="I3" s="198"/>
      <c r="J3" s="199" t="s">
        <v>1072</v>
      </c>
      <c r="K3" s="200"/>
    </row>
    <row r="4" spans="1:34" ht="15" thickBot="1" x14ac:dyDescent="0.35">
      <c r="B4" s="19" t="s">
        <v>1054</v>
      </c>
      <c r="C4" s="14"/>
      <c r="D4" s="170" t="s">
        <v>1109</v>
      </c>
      <c r="E4" s="20" t="s">
        <v>1055</v>
      </c>
      <c r="F4" s="201" t="s">
        <v>1056</v>
      </c>
      <c r="G4" s="202"/>
      <c r="H4" s="201" t="s">
        <v>1071</v>
      </c>
      <c r="I4" s="202"/>
      <c r="J4" s="203" t="s">
        <v>1073</v>
      </c>
      <c r="K4" s="204"/>
    </row>
    <row r="5" spans="1:34" ht="15" thickBot="1" x14ac:dyDescent="0.35">
      <c r="B5" s="21" t="s">
        <v>1057</v>
      </c>
      <c r="C5" s="14"/>
      <c r="D5" s="14" t="s">
        <v>1112</v>
      </c>
      <c r="E5" s="14"/>
      <c r="F5" s="175" t="s">
        <v>1102</v>
      </c>
      <c r="G5" s="14"/>
      <c r="H5" s="14"/>
      <c r="I5" s="14"/>
      <c r="J5" s="147"/>
      <c r="K5" s="147"/>
    </row>
    <row r="6" spans="1:34" x14ac:dyDescent="0.3">
      <c r="D6" s="152" t="s">
        <v>1110</v>
      </c>
      <c r="E6" s="152"/>
      <c r="F6" s="175" t="s">
        <v>1111</v>
      </c>
      <c r="M6" s="14"/>
      <c r="N6" s="14"/>
      <c r="O6" s="14"/>
      <c r="P6" s="14"/>
      <c r="Q6" s="14"/>
      <c r="R6" s="14"/>
      <c r="S6" s="14"/>
      <c r="T6" s="14"/>
      <c r="U6" s="14"/>
      <c r="V6" s="14"/>
      <c r="W6" s="14"/>
      <c r="X6" s="14"/>
      <c r="Y6" s="14"/>
      <c r="Z6" s="14"/>
      <c r="AA6" s="14"/>
      <c r="AB6" s="14"/>
      <c r="AC6" s="14"/>
      <c r="AD6" s="14"/>
      <c r="AE6" s="14"/>
      <c r="AF6" s="14"/>
      <c r="AG6" s="14"/>
      <c r="AH6" s="14"/>
    </row>
    <row r="7" spans="1:34" ht="15" thickBot="1" x14ac:dyDescent="0.35">
      <c r="B7" s="152" t="s">
        <v>1312</v>
      </c>
      <c r="D7" s="152" t="s">
        <v>1113</v>
      </c>
      <c r="L7" s="14"/>
      <c r="M7" s="14"/>
      <c r="N7" s="14"/>
      <c r="O7" s="14"/>
      <c r="P7" s="14"/>
      <c r="Q7" s="14"/>
      <c r="R7" s="14"/>
      <c r="S7" s="14"/>
      <c r="T7" s="14"/>
      <c r="U7" s="14"/>
      <c r="V7" s="14"/>
      <c r="W7" s="14"/>
      <c r="X7" s="14"/>
      <c r="Y7" s="14"/>
      <c r="Z7" s="14"/>
      <c r="AA7" s="14"/>
      <c r="AB7" s="14"/>
      <c r="AC7" s="14"/>
      <c r="AD7" s="14"/>
      <c r="AE7" s="14"/>
      <c r="AF7" s="14"/>
      <c r="AG7" s="14"/>
      <c r="AH7" s="14"/>
    </row>
    <row r="8" spans="1:34" x14ac:dyDescent="0.3">
      <c r="B8" s="205" t="s">
        <v>1068</v>
      </c>
      <c r="C8" s="205"/>
      <c r="D8" s="205"/>
      <c r="E8" s="205"/>
      <c r="F8" s="205"/>
      <c r="L8" s="14"/>
      <c r="M8" s="14"/>
      <c r="N8" s="14"/>
      <c r="O8" s="182" t="s">
        <v>1082</v>
      </c>
      <c r="P8" s="183"/>
      <c r="Q8" s="183"/>
      <c r="R8" s="183"/>
      <c r="S8" s="183"/>
      <c r="T8" s="183"/>
      <c r="U8" s="183"/>
      <c r="V8" s="183"/>
      <c r="W8" s="183"/>
      <c r="X8" s="183"/>
      <c r="Y8" s="183"/>
      <c r="Z8" s="183"/>
      <c r="AA8" s="183"/>
      <c r="AB8" s="183"/>
      <c r="AC8" s="183"/>
      <c r="AD8" s="183"/>
      <c r="AE8" s="183"/>
      <c r="AF8" s="183"/>
      <c r="AG8" s="183"/>
      <c r="AH8" s="184"/>
    </row>
    <row r="9" spans="1:34" ht="15" thickBot="1" x14ac:dyDescent="0.35">
      <c r="B9" s="205"/>
      <c r="C9" s="205"/>
      <c r="D9" s="205"/>
      <c r="E9" s="205"/>
      <c r="F9" s="205"/>
      <c r="L9" s="22"/>
      <c r="M9" s="22"/>
      <c r="N9" s="23"/>
      <c r="O9" s="206">
        <v>2023</v>
      </c>
      <c r="P9" s="207"/>
      <c r="Q9" s="207"/>
      <c r="R9" s="207"/>
      <c r="S9" s="207"/>
      <c r="T9" s="207"/>
      <c r="U9" s="207"/>
      <c r="V9" s="207"/>
      <c r="W9" s="207"/>
      <c r="X9" s="207"/>
      <c r="Y9" s="207"/>
      <c r="Z9" s="207"/>
      <c r="AA9" s="207"/>
      <c r="AB9" s="207"/>
      <c r="AC9" s="208"/>
      <c r="AD9" s="179">
        <v>2024</v>
      </c>
      <c r="AE9" s="180"/>
      <c r="AF9" s="180"/>
      <c r="AG9" s="180"/>
      <c r="AH9" s="181"/>
    </row>
    <row r="10" spans="1:34" ht="15" thickBot="1" x14ac:dyDescent="0.35">
      <c r="B10" s="14"/>
      <c r="C10" s="14"/>
      <c r="D10" s="14"/>
      <c r="E10" s="14"/>
      <c r="F10" s="14"/>
      <c r="G10" s="14"/>
      <c r="H10" s="182" t="s">
        <v>1058</v>
      </c>
      <c r="I10" s="183"/>
      <c r="J10" s="183"/>
      <c r="K10" s="183"/>
      <c r="L10" s="183"/>
      <c r="M10" s="183"/>
      <c r="N10" s="184"/>
      <c r="O10" s="185" t="s">
        <v>1044</v>
      </c>
      <c r="P10" s="186"/>
      <c r="Q10" s="186"/>
      <c r="R10" s="186"/>
      <c r="S10" s="187"/>
      <c r="T10" s="188" t="s">
        <v>1042</v>
      </c>
      <c r="U10" s="189"/>
      <c r="V10" s="189"/>
      <c r="W10" s="189"/>
      <c r="X10" s="190"/>
      <c r="Y10" s="191" t="s">
        <v>1043</v>
      </c>
      <c r="Z10" s="192"/>
      <c r="AA10" s="192"/>
      <c r="AB10" s="192"/>
      <c r="AC10" s="193"/>
      <c r="AD10" s="194" t="s">
        <v>1311</v>
      </c>
      <c r="AE10" s="195"/>
      <c r="AF10" s="195"/>
      <c r="AG10" s="195"/>
      <c r="AH10" s="196"/>
    </row>
    <row r="11" spans="1:34" ht="41.4" x14ac:dyDescent="0.3">
      <c r="A11" s="45"/>
      <c r="B11" s="24" t="s">
        <v>62</v>
      </c>
      <c r="C11" s="24" t="s">
        <v>4</v>
      </c>
      <c r="D11" s="24" t="s">
        <v>5</v>
      </c>
      <c r="E11" s="24" t="s">
        <v>6</v>
      </c>
      <c r="F11" s="24" t="s">
        <v>186</v>
      </c>
      <c r="G11" s="25" t="s">
        <v>1076</v>
      </c>
      <c r="H11" s="26" t="s">
        <v>216</v>
      </c>
      <c r="I11" s="27" t="s">
        <v>1108</v>
      </c>
      <c r="J11" s="27" t="s">
        <v>1109</v>
      </c>
      <c r="K11" s="28" t="s">
        <v>1059</v>
      </c>
      <c r="L11" s="28" t="s">
        <v>1060</v>
      </c>
      <c r="M11" s="28" t="s">
        <v>1062</v>
      </c>
      <c r="N11" s="28" t="s">
        <v>1063</v>
      </c>
      <c r="O11" s="26" t="s">
        <v>216</v>
      </c>
      <c r="P11" s="27" t="s">
        <v>1108</v>
      </c>
      <c r="Q11" s="28" t="s">
        <v>1065</v>
      </c>
      <c r="R11" s="27" t="s">
        <v>1109</v>
      </c>
      <c r="S11" s="64" t="s">
        <v>1066</v>
      </c>
      <c r="T11" s="26" t="s">
        <v>216</v>
      </c>
      <c r="U11" s="27" t="s">
        <v>1108</v>
      </c>
      <c r="V11" s="28" t="s">
        <v>1065</v>
      </c>
      <c r="W11" s="27" t="s">
        <v>1109</v>
      </c>
      <c r="X11" s="64" t="s">
        <v>1066</v>
      </c>
      <c r="Y11" s="26" t="s">
        <v>216</v>
      </c>
      <c r="Z11" s="27" t="s">
        <v>1108</v>
      </c>
      <c r="AA11" s="28" t="s">
        <v>1065</v>
      </c>
      <c r="AB11" s="27" t="s">
        <v>1109</v>
      </c>
      <c r="AC11" s="64" t="s">
        <v>1066</v>
      </c>
      <c r="AD11" s="26" t="s">
        <v>216</v>
      </c>
      <c r="AE11" s="27" t="s">
        <v>1108</v>
      </c>
      <c r="AF11" s="28" t="s">
        <v>1065</v>
      </c>
      <c r="AG11" s="27" t="s">
        <v>1109</v>
      </c>
      <c r="AH11" s="64" t="s">
        <v>1066</v>
      </c>
    </row>
    <row r="12" spans="1:34" x14ac:dyDescent="0.3">
      <c r="A12" s="45"/>
      <c r="B12" s="14" t="s">
        <v>13</v>
      </c>
      <c r="C12" s="29">
        <f>AVERAGEIF(AllDataApr[Site Name], Tables!B12, AllDataApr[Latitude])</f>
        <v>51.991406205882356</v>
      </c>
      <c r="D12" s="29">
        <f>AVERAGEIF(AllDataApr[Site Name], Tables!B12, AllDataApr[Longitude])</f>
        <v>-2.1618750294117643</v>
      </c>
      <c r="E12" s="14" t="s">
        <v>18</v>
      </c>
      <c r="F12" s="14" t="s">
        <v>187</v>
      </c>
      <c r="G12" s="30" t="s">
        <v>191</v>
      </c>
      <c r="H12" s="31">
        <f>COUNTIF(AllDataApr[Site Name], Tables!B12)</f>
        <v>48</v>
      </c>
      <c r="I12" s="32">
        <f>AVERAGE(P12,U12,Z12,AE12)</f>
        <v>7.3262820512820506</v>
      </c>
      <c r="J12" s="33">
        <f>AVERAGE(R12,W12,AB12,AG12)</f>
        <v>0.81224679487179485</v>
      </c>
      <c r="K12" s="34" cm="1">
        <f t="array" ref="K12">SUM(COUNTIFS(AllDataApr[Site Name], B12, AllDataApr[Nitrate Pollution Category], {"High","Very high"}))/COUNTIFS(AllDataApr[Site Name], B12, AllDataApr[Nitrate (PPM)], "&lt;&gt;0")</f>
        <v>1</v>
      </c>
      <c r="L12" s="34" cm="1">
        <f t="array" ref="L12">SUM(COUNTIFS(AllDataApr[Site Name], B12, AllDataApr[Phosphate Pollution Category], {"High","Very high"}))/COUNTIFS(AllDataApr[Site Name], B12, AllDataApr[Phosphate (PPM)], "&lt;&gt;0")</f>
        <v>1</v>
      </c>
      <c r="M12" s="35">
        <f>RANK(I12,$I$12:$I$55)</f>
        <v>11</v>
      </c>
      <c r="N12" s="35">
        <f>RANK(J12,$J$12:$J$55)</f>
        <v>5</v>
      </c>
      <c r="O12" s="31">
        <f>COUNTIFS(AllDataApr[Site Name], Tables!B12, AllDataApr[Season], "Summer")</f>
        <v>10</v>
      </c>
      <c r="P12" s="32">
        <f>IFERROR(AVERAGEIFS(AllDataApr[Nitrate (PPM)], AllDataApr[Site Name], B12, AllDataApr[Season], "Summer"), "")</f>
        <v>8.6</v>
      </c>
      <c r="Q12" s="34">
        <f>IFERROR((P12-I12)/I12, "")</f>
        <v>0.17385598040073505</v>
      </c>
      <c r="R12" s="33">
        <f>IFERROR(AVERAGEIFS(AllDataApr[Phosphate (PPM)], AllDataApr[Site Name], B12, AllDataApr[Season], "Summer"),"")</f>
        <v>1.032</v>
      </c>
      <c r="S12" s="36">
        <f>IFERROR((R12-J12)/J12, "")</f>
        <v>0.27054979658355077</v>
      </c>
      <c r="T12" s="35">
        <f>COUNTIFS(AllDataApr[Site Name], Tables!B12, AllDataApr[Season], "Autumn")</f>
        <v>13</v>
      </c>
      <c r="U12" s="32">
        <f>IFERROR(AVERAGEIFS(AllDataApr[Nitrate (PPM)], AllDataApr[Site Name], B12, AllDataApr[Season], "Autumn"), "")</f>
        <v>7.9230769230769234</v>
      </c>
      <c r="V12" s="34">
        <f>IFERROR((U12-I12)/I12, "")</f>
        <v>8.1459445270802483E-2</v>
      </c>
      <c r="W12" s="33">
        <f>IFERROR(AVERAGEIFS(AllDataApr[Phosphate (PPM)], AllDataApr[Site Name], B12, AllDataApr[Season], "Autumn"), "")</f>
        <v>0.9276923076923077</v>
      </c>
      <c r="X12" s="36">
        <f>IFERROR((W12-J12)/J12, "")</f>
        <v>0.14213107832421154</v>
      </c>
      <c r="Y12" s="35">
        <f>COUNTIFS(AllDataApr[Site Name], Tables!B12, AllDataApr[Season], "Winter")</f>
        <v>13</v>
      </c>
      <c r="Z12" s="32">
        <f>IFERROR(AVERAGEIFS(AllDataApr[Nitrate (PPM)], AllDataApr[Site Name], B12, AllDataApr[Season], "Winter"), "")</f>
        <v>5.615384615384615</v>
      </c>
      <c r="AA12" s="34">
        <f>IFERROR((Z12-I12)/I12, "")</f>
        <v>-0.23352874267214976</v>
      </c>
      <c r="AB12" s="33">
        <f>IFERROR(AVERAGEIFS(AllDataApr[Phosphate (PPM)], AllDataApr[Site Name], B12, AllDataApr[Season], "Winter"),"")</f>
        <v>0.68846153846153846</v>
      </c>
      <c r="AC12" s="34">
        <f>IFERROR((AB12-J12)/J12, "")</f>
        <v>-0.15239857786055613</v>
      </c>
      <c r="AD12" s="65">
        <f>COUNTIFS(AllDataApr[Site Name], Tables!B12, AllDataApr[Season], "Spring")</f>
        <v>12</v>
      </c>
      <c r="AE12" s="32">
        <f>IFERROR(AVERAGEIFS(AllDataApr[Nitrate (PPM)], AllDataApr[Site Name], B12, AllDataApr[Season], "Spring"), "")</f>
        <v>7.166666666666667</v>
      </c>
      <c r="AF12" s="34">
        <f>IFERROR((AE12-I12)/I12, "")</f>
        <v>-2.1786682999387387E-2</v>
      </c>
      <c r="AG12" s="33">
        <f>IFERROR(AVERAGEIFS(AllDataApr[Phosphate (PPM)], AllDataApr[Site Name], B12, AllDataApr[Season], "Spring"),"")</f>
        <v>0.60083333333333322</v>
      </c>
      <c r="AH12" s="74">
        <f>IFERROR((AG12-J12)/J12, "")</f>
        <v>-0.26028229704720618</v>
      </c>
    </row>
    <row r="13" spans="1:34" x14ac:dyDescent="0.3">
      <c r="A13" s="45"/>
      <c r="B13" s="14" t="s">
        <v>128</v>
      </c>
      <c r="C13" s="29">
        <f>AVERAGEIF(AllDataApr[Site Name], Tables!B13, AllDataApr[Latitude])</f>
        <v>52.212615400000018</v>
      </c>
      <c r="D13" s="29">
        <f>AVERAGEIF(AllDataApr[Site Name], Tables!B13, AllDataApr[Longitude])</f>
        <v>-1.6603578666666661</v>
      </c>
      <c r="E13" s="14" t="s">
        <v>18</v>
      </c>
      <c r="F13" s="14" t="s">
        <v>185</v>
      </c>
      <c r="G13" s="30" t="s">
        <v>191</v>
      </c>
      <c r="H13" s="31">
        <f>COUNTIF(AllDataApr[Site Name], Tables!B13)</f>
        <v>31</v>
      </c>
      <c r="I13" s="32">
        <f t="shared" ref="I13:I55" si="0">AVERAGE(P13,U13,Z13,AE13)</f>
        <v>5.5064102564102564</v>
      </c>
      <c r="J13" s="33">
        <f t="shared" ref="J13:J55" si="1">AVERAGE(R13,W13,AB13,AG13)</f>
        <v>0.49682234432234429</v>
      </c>
      <c r="K13" s="34" cm="1">
        <f t="array" ref="K13">SUM(COUNTIFS(AllDataApr[Site Name], B13, AllDataApr[Nitrate Pollution Category], {"High","Very high"}))/COUNTIFS(AllDataApr[Site Name], B13, AllDataApr[Nitrate (PPM)], "&lt;&gt;0")</f>
        <v>1</v>
      </c>
      <c r="L13" s="34" cm="1">
        <f t="array" ref="L13">SUM(COUNTIFS(AllDataApr[Site Name], B13, AllDataApr[Phosphate Pollution Category], {"High","Very high"}))/COUNTIFS(AllDataApr[Site Name], B13, AllDataApr[Phosphate (PPM)], "&lt;&gt;0")</f>
        <v>1</v>
      </c>
      <c r="M13" s="35">
        <f t="shared" ref="M13:M55" si="2">RANK(I13,$I$12:$I$55)</f>
        <v>27</v>
      </c>
      <c r="N13" s="35">
        <f t="shared" ref="N13:N55" si="3">RANK(J13,$J$12:$J$55)</f>
        <v>27</v>
      </c>
      <c r="O13" s="31">
        <f>COUNTIFS(AllDataApr[Site Name], Tables!B13, AllDataApr[Season], "Summer")</f>
        <v>0</v>
      </c>
      <c r="P13" s="32" t="str">
        <f>IFERROR(AVERAGEIFS(AllDataApr[Nitrate (PPM)], AllDataApr[Site Name], B13, AllDataApr[Season], "Summer"), "")</f>
        <v/>
      </c>
      <c r="Q13" s="34" t="str">
        <f t="shared" ref="Q13:Q22" si="4">IFERROR((P13-I13)/I13, "")</f>
        <v/>
      </c>
      <c r="R13" s="33" t="str">
        <f>IFERROR(AVERAGEIFS(AllDataApr[Phosphate (PPM)], AllDataApr[Site Name], B13, AllDataApr[Season], "Summer"),"")</f>
        <v/>
      </c>
      <c r="S13" s="36" t="str">
        <f t="shared" ref="S13:S22" si="5">IFERROR((R13-J13)/J13, "")</f>
        <v/>
      </c>
      <c r="T13" s="35">
        <f>COUNTIFS(AllDataApr[Site Name], Tables!B13, AllDataApr[Season], "Autumn")</f>
        <v>4</v>
      </c>
      <c r="U13" s="32">
        <f>IFERROR(AVERAGEIFS(AllDataApr[Nitrate (PPM)], AllDataApr[Site Name], B13, AllDataApr[Season], "Autumn"), "")</f>
        <v>6.25</v>
      </c>
      <c r="V13" s="34">
        <f t="shared" ref="V13:V55" si="6">IFERROR((U13-I13)/I13, "")</f>
        <v>0.1350407450523865</v>
      </c>
      <c r="W13" s="33">
        <f>IFERROR(AVERAGEIFS(AllDataApr[Phosphate (PPM)], AllDataApr[Site Name], B13, AllDataApr[Season], "Autumn"), "")</f>
        <v>0.44750000000000001</v>
      </c>
      <c r="X13" s="36">
        <f t="shared" ref="X13:X55" si="7">IFERROR((W13-J13)/J13, "")</f>
        <v>-9.927561609496241E-2</v>
      </c>
      <c r="Y13" s="35">
        <f>COUNTIFS(AllDataApr[Site Name], Tables!B13, AllDataApr[Season], "Winter")</f>
        <v>14</v>
      </c>
      <c r="Z13" s="32">
        <f>IFERROR(AVERAGEIFS(AllDataApr[Nitrate (PPM)], AllDataApr[Site Name], B13, AllDataApr[Season], "Winter"), "")</f>
        <v>4.5</v>
      </c>
      <c r="AA13" s="34">
        <f t="shared" ref="AA13:AA55" si="8">IFERROR((Z13-I13)/I13, "")</f>
        <v>-0.18277066356228172</v>
      </c>
      <c r="AB13" s="33">
        <f>IFERROR(AVERAGEIFS(AllDataApr[Phosphate (PPM)], AllDataApr[Site Name], B13, AllDataApr[Season], "Winter"),"")</f>
        <v>0.63142857142857145</v>
      </c>
      <c r="AC13" s="34">
        <f t="shared" ref="AC13:AC55" si="9">IFERROR((AB13-J13)/J13, "")</f>
        <v>0.27093432621237545</v>
      </c>
      <c r="AD13" s="65">
        <f>COUNTIFS(AllDataApr[Site Name], Tables!B13, AllDataApr[Season], "Spring")</f>
        <v>13</v>
      </c>
      <c r="AE13" s="32">
        <f>IFERROR(AVERAGEIFS(AllDataApr[Nitrate (PPM)], AllDataApr[Site Name], B13, AllDataApr[Season], "Spring"), "")</f>
        <v>5.7692307692307692</v>
      </c>
      <c r="AF13" s="34">
        <f t="shared" ref="AF13:AF55" si="10">IFERROR((AE13-I13)/I13, "")</f>
        <v>4.7729918509895219E-2</v>
      </c>
      <c r="AG13" s="33">
        <f>IFERROR(AVERAGEIFS(AllDataApr[Phosphate (PPM)], AllDataApr[Site Name], B13, AllDataApr[Season], "Spring"),"")</f>
        <v>0.41153846153846152</v>
      </c>
      <c r="AH13" s="74">
        <f t="shared" ref="AH13:AH55" si="11">IFERROR((AG13-J13)/J13, "")</f>
        <v>-0.17165871011741285</v>
      </c>
    </row>
    <row r="14" spans="1:34" x14ac:dyDescent="0.3">
      <c r="A14" s="45"/>
      <c r="B14" s="14" t="s">
        <v>909</v>
      </c>
      <c r="C14" s="29">
        <f>AVERAGEIF(AllDataApr[Site Name], Tables!B14, AllDataApr[Latitude])</f>
        <v>52.123206538461538</v>
      </c>
      <c r="D14" s="29">
        <f>AVERAGEIF(AllDataApr[Site Name], Tables!B14, AllDataApr[Longitude])</f>
        <v>-2.0569344615384613</v>
      </c>
      <c r="E14" s="14"/>
      <c r="F14" s="14" t="s">
        <v>1035</v>
      </c>
      <c r="G14" s="30" t="s">
        <v>191</v>
      </c>
      <c r="H14" s="31">
        <f>COUNTIF(AllDataApr[Site Name], Tables!B14)</f>
        <v>13</v>
      </c>
      <c r="I14" s="32">
        <f t="shared" si="0"/>
        <v>6.4615384615384617</v>
      </c>
      <c r="J14" s="33">
        <f t="shared" si="1"/>
        <v>0.51923076923076927</v>
      </c>
      <c r="K14" s="34" cm="1">
        <f t="array" ref="K14">SUM(COUNTIFS(AllDataApr[Site Name], B14, AllDataApr[Nitrate Pollution Category], {"High","Very high"}))/COUNTIFS(AllDataApr[Site Name], B14, AllDataApr[Nitrate (PPM)], "&lt;&gt;0")</f>
        <v>1</v>
      </c>
      <c r="L14" s="34" cm="1">
        <f t="array" ref="L14">SUM(COUNTIFS(AllDataApr[Site Name], B14, AllDataApr[Phosphate Pollution Category], {"High","Very high"}))/COUNTIFS(AllDataApr[Site Name], B14, AllDataApr[Phosphate (PPM)], "&lt;&gt;0")</f>
        <v>1</v>
      </c>
      <c r="M14" s="35">
        <f t="shared" si="2"/>
        <v>19</v>
      </c>
      <c r="N14" s="35">
        <f t="shared" si="3"/>
        <v>24</v>
      </c>
      <c r="O14" s="31">
        <f>COUNTIFS(AllDataApr[Site Name], Tables!B14, AllDataApr[Season], "Summer")</f>
        <v>0</v>
      </c>
      <c r="P14" s="32" t="str">
        <f>IFERROR(AVERAGEIFS(AllDataApr[Nitrate (PPM)], AllDataApr[Site Name], B14, AllDataApr[Season], "Summer"), "")</f>
        <v/>
      </c>
      <c r="Q14" s="34" t="str">
        <f t="shared" si="4"/>
        <v/>
      </c>
      <c r="R14" s="33" t="str">
        <f>IFERROR(AVERAGEIFS(AllDataApr[Phosphate (PPM)], AllDataApr[Site Name], B14, AllDataApr[Season], "Summer"),"")</f>
        <v/>
      </c>
      <c r="S14" s="36" t="str">
        <f t="shared" si="5"/>
        <v/>
      </c>
      <c r="T14" s="35">
        <f>COUNTIFS(AllDataApr[Site Name], Tables!B14, AllDataApr[Season], "Autumn")</f>
        <v>0</v>
      </c>
      <c r="U14" s="32" t="str">
        <f>IFERROR(AVERAGEIFS(AllDataApr[Nitrate (PPM)], AllDataApr[Site Name], B14, AllDataApr[Season], "Autumn"), "")</f>
        <v/>
      </c>
      <c r="V14" s="34" t="str">
        <f t="shared" si="6"/>
        <v/>
      </c>
      <c r="W14" s="33" t="str">
        <f>IFERROR(AVERAGEIFS(AllDataApr[Phosphate (PPM)], AllDataApr[Site Name], B14, AllDataApr[Season], "Autumn"), "")</f>
        <v/>
      </c>
      <c r="X14" s="36" t="str">
        <f t="shared" si="7"/>
        <v/>
      </c>
      <c r="Y14" s="35">
        <f>COUNTIFS(AllDataApr[Site Name], Tables!B14, AllDataApr[Season], "Winter")</f>
        <v>0</v>
      </c>
      <c r="Z14" s="32" t="str">
        <f>IFERROR(AVERAGEIFS(AllDataApr[Nitrate (PPM)], AllDataApr[Site Name], B14, AllDataApr[Season], "Winter"), "")</f>
        <v/>
      </c>
      <c r="AA14" s="34" t="str">
        <f t="shared" si="8"/>
        <v/>
      </c>
      <c r="AB14" s="33" t="str">
        <f>IFERROR(AVERAGEIFS(AllDataApr[Phosphate (PPM)], AllDataApr[Site Name], B14, AllDataApr[Season], "Winter"),"")</f>
        <v/>
      </c>
      <c r="AC14" s="34" t="str">
        <f t="shared" si="9"/>
        <v/>
      </c>
      <c r="AD14" s="65">
        <f>COUNTIFS(AllDataApr[Site Name], Tables!B14, AllDataApr[Season], "Spring")</f>
        <v>13</v>
      </c>
      <c r="AE14" s="32">
        <f>IFERROR(AVERAGEIFS(AllDataApr[Nitrate (PPM)], AllDataApr[Site Name], B14, AllDataApr[Season], "Spring"), "")</f>
        <v>6.4615384615384617</v>
      </c>
      <c r="AF14" s="34">
        <f t="shared" si="10"/>
        <v>0</v>
      </c>
      <c r="AG14" s="33">
        <f>IFERROR(AVERAGEIFS(AllDataApr[Phosphate (PPM)], AllDataApr[Site Name], B14, AllDataApr[Season], "Spring"),"")</f>
        <v>0.51923076923076927</v>
      </c>
      <c r="AH14" s="74">
        <f t="shared" si="11"/>
        <v>0</v>
      </c>
    </row>
    <row r="15" spans="1:34" x14ac:dyDescent="0.3">
      <c r="A15" s="45"/>
      <c r="B15" s="14" t="s">
        <v>41</v>
      </c>
      <c r="C15" s="29">
        <f>AVERAGEIF(AllDataApr[Site Name], Tables!B15, AllDataApr[Latitude])</f>
        <v>49.574741705882353</v>
      </c>
      <c r="D15" s="29">
        <f>AVERAGEIF(AllDataApr[Site Name], Tables!B15, AllDataApr[Longitude])</f>
        <v>-25.086826470588235</v>
      </c>
      <c r="E15" s="14" t="s">
        <v>42</v>
      </c>
      <c r="F15" s="14" t="s">
        <v>185</v>
      </c>
      <c r="G15" s="30" t="s">
        <v>191</v>
      </c>
      <c r="H15" s="31">
        <f>COUNTIF(AllDataApr[Site Name], Tables!B15)</f>
        <v>31</v>
      </c>
      <c r="I15" s="32">
        <f t="shared" si="0"/>
        <v>8.5027777777777782</v>
      </c>
      <c r="J15" s="33">
        <f t="shared" si="1"/>
        <v>0.57294444444444448</v>
      </c>
      <c r="K15" s="34" cm="1">
        <f t="array" ref="K15">SUM(COUNTIFS(AllDataApr[Site Name], B15, AllDataApr[Nitrate Pollution Category], {"High","Very high"}))/COUNTIFS(AllDataApr[Site Name], B15, AllDataApr[Nitrate (PPM)], "&lt;&gt;0")</f>
        <v>1</v>
      </c>
      <c r="L15" s="34" cm="1">
        <f t="array" ref="L15">SUM(COUNTIFS(AllDataApr[Site Name], B15, AllDataApr[Phosphate Pollution Category], {"High","Very high"}))/COUNTIFS(AllDataApr[Site Name], B15, AllDataApr[Phosphate (PPM)], "&lt;&gt;0")</f>
        <v>1</v>
      </c>
      <c r="M15" s="35">
        <f t="shared" si="2"/>
        <v>5</v>
      </c>
      <c r="N15" s="35">
        <f t="shared" si="3"/>
        <v>19</v>
      </c>
      <c r="O15" s="31">
        <f>COUNTIFS(AllDataApr[Site Name], Tables!B15, AllDataApr[Season], "Summer")</f>
        <v>5</v>
      </c>
      <c r="P15" s="32">
        <f>IFERROR(AVERAGEIFS(AllDataApr[Nitrate (PPM)], AllDataApr[Site Name], B15, AllDataApr[Season], "Summer"), "")</f>
        <v>10</v>
      </c>
      <c r="Q15" s="34">
        <f t="shared" si="4"/>
        <v>0.17608624632473041</v>
      </c>
      <c r="R15" s="33">
        <f>IFERROR(AVERAGEIFS(AllDataApr[Phosphate (PPM)], AllDataApr[Site Name], B15, AllDataApr[Season], "Summer"),"")</f>
        <v>0.51</v>
      </c>
      <c r="S15" s="36">
        <f t="shared" si="5"/>
        <v>-0.10986134005623974</v>
      </c>
      <c r="T15" s="35">
        <f>COUNTIFS(AllDataApr[Site Name], Tables!B15, AllDataApr[Season], "Autumn")</f>
        <v>12</v>
      </c>
      <c r="U15" s="32">
        <f>IFERROR(AVERAGEIFS(AllDataApr[Nitrate (PPM)], AllDataApr[Site Name], B15, AllDataApr[Season], "Autumn"), "")</f>
        <v>10.833333333333334</v>
      </c>
      <c r="V15" s="34">
        <f t="shared" si="6"/>
        <v>0.27409343351845805</v>
      </c>
      <c r="W15" s="33">
        <f>IFERROR(AVERAGEIFS(AllDataApr[Phosphate (PPM)], AllDataApr[Site Name], B15, AllDataApr[Season], "Autumn"), "")</f>
        <v>0.82000000000000017</v>
      </c>
      <c r="X15" s="36">
        <f t="shared" si="7"/>
        <v>0.43120333559585011</v>
      </c>
      <c r="Y15" s="35">
        <f>COUNTIFS(AllDataApr[Site Name], Tables!B15, AllDataApr[Season], "Winter")</f>
        <v>5</v>
      </c>
      <c r="Z15" s="32">
        <f>IFERROR(AVERAGEIFS(AllDataApr[Nitrate (PPM)], AllDataApr[Site Name], B15, AllDataApr[Season], "Winter"), "")</f>
        <v>5.4</v>
      </c>
      <c r="AA15" s="34">
        <f t="shared" si="8"/>
        <v>-0.36491342698464552</v>
      </c>
      <c r="AB15" s="33">
        <f>IFERROR(AVERAGEIFS(AllDataApr[Phosphate (PPM)], AllDataApr[Site Name], B15, AllDataApr[Season], "Winter"),"")</f>
        <v>0.52400000000000002</v>
      </c>
      <c r="AC15" s="34">
        <f t="shared" si="9"/>
        <v>-8.5426161155822772E-2</v>
      </c>
      <c r="AD15" s="65">
        <f>COUNTIFS(AllDataApr[Site Name], Tables!B15, AllDataApr[Season], "Spring")</f>
        <v>9</v>
      </c>
      <c r="AE15" s="32">
        <f>IFERROR(AVERAGEIFS(AllDataApr[Nitrate (PPM)], AllDataApr[Site Name], B15, AllDataApr[Season], "Spring"), "")</f>
        <v>7.7777777777777777</v>
      </c>
      <c r="AF15" s="34">
        <f t="shared" si="10"/>
        <v>-8.5266252858543015E-2</v>
      </c>
      <c r="AG15" s="33">
        <f>IFERROR(AVERAGEIFS(AllDataApr[Phosphate (PPM)], AllDataApr[Site Name], B15, AllDataApr[Season], "Spring"),"")</f>
        <v>0.43777777777777771</v>
      </c>
      <c r="AH15" s="74">
        <f t="shared" si="11"/>
        <v>-0.2359158343837876</v>
      </c>
    </row>
    <row r="16" spans="1:34" x14ac:dyDescent="0.3">
      <c r="A16" s="45"/>
      <c r="B16" s="14" t="s">
        <v>29</v>
      </c>
      <c r="C16" s="29">
        <f>AVERAGEIF(AllDataApr[Site Name], Tables!B16, AllDataApr[Latitude])</f>
        <v>52.16120999999999</v>
      </c>
      <c r="D16" s="29">
        <f>AVERAGEIF(AllDataApr[Site Name], Tables!B16, AllDataApr[Longitude])</f>
        <v>-1.8301499999999999</v>
      </c>
      <c r="E16" s="14" t="s">
        <v>18</v>
      </c>
      <c r="F16" s="14" t="s">
        <v>185</v>
      </c>
      <c r="G16" s="30" t="s">
        <v>191</v>
      </c>
      <c r="H16" s="31">
        <f>COUNTIF(AllDataApr[Site Name], Tables!B16)</f>
        <v>13</v>
      </c>
      <c r="I16" s="32">
        <f t="shared" si="0"/>
        <v>7.7666666666666666</v>
      </c>
      <c r="J16" s="33">
        <f t="shared" si="1"/>
        <v>0.61777777777777776</v>
      </c>
      <c r="K16" s="34" cm="1">
        <f t="array" ref="K16">SUM(COUNTIFS(AllDataApr[Site Name], B16, AllDataApr[Nitrate Pollution Category], {"High","Very high"}))/COUNTIFS(AllDataApr[Site Name], B16, AllDataApr[Nitrate (PPM)], "&lt;&gt;0")</f>
        <v>0.92307692307692313</v>
      </c>
      <c r="L16" s="34" cm="1">
        <f t="array" ref="L16">SUM(COUNTIFS(AllDataApr[Site Name], B16, AllDataApr[Phosphate Pollution Category], {"High","Very high"}))/COUNTIFS(AllDataApr[Site Name], B16, AllDataApr[Phosphate (PPM)], "&lt;&gt;0")</f>
        <v>1</v>
      </c>
      <c r="M16" s="35">
        <f t="shared" si="2"/>
        <v>7</v>
      </c>
      <c r="N16" s="35">
        <f t="shared" si="3"/>
        <v>10</v>
      </c>
      <c r="O16" s="31">
        <f>COUNTIFS(AllDataApr[Site Name], Tables!B16, AllDataApr[Season], "Summer")</f>
        <v>5</v>
      </c>
      <c r="P16" s="32">
        <f>IFERROR(AVERAGEIFS(AllDataApr[Nitrate (PPM)], AllDataApr[Site Name], B16, AllDataApr[Season], "Summer"), "")</f>
        <v>5</v>
      </c>
      <c r="Q16" s="34">
        <f t="shared" si="4"/>
        <v>-0.35622317596566522</v>
      </c>
      <c r="R16" s="33">
        <f>IFERROR(AVERAGEIFS(AllDataApr[Phosphate (PPM)], AllDataApr[Site Name], B16, AllDataApr[Season], "Summer"),"")</f>
        <v>0.65199999999999991</v>
      </c>
      <c r="S16" s="36">
        <f t="shared" si="5"/>
        <v>5.5395683453237303E-2</v>
      </c>
      <c r="T16" s="35">
        <f>COUNTIFS(AllDataApr[Site Name], Tables!B16, AllDataApr[Season], "Autumn")</f>
        <v>3</v>
      </c>
      <c r="U16" s="32">
        <f>IFERROR(AVERAGEIFS(AllDataApr[Nitrate (PPM)], AllDataApr[Site Name], B16, AllDataApr[Season], "Autumn"), "")</f>
        <v>5.5</v>
      </c>
      <c r="V16" s="34">
        <f t="shared" si="6"/>
        <v>-0.29184549356223177</v>
      </c>
      <c r="W16" s="33">
        <f>IFERROR(AVERAGEIFS(AllDataApr[Phosphate (PPM)], AllDataApr[Site Name], B16, AllDataApr[Season], "Autumn"), "")</f>
        <v>0.72333333333333327</v>
      </c>
      <c r="X16" s="36">
        <f t="shared" si="7"/>
        <v>0.17086330935251792</v>
      </c>
      <c r="Y16" s="35">
        <f>COUNTIFS(AllDataApr[Site Name], Tables!B16, AllDataApr[Season], "Winter")</f>
        <v>5</v>
      </c>
      <c r="Z16" s="32">
        <f>IFERROR(AVERAGEIFS(AllDataApr[Nitrate (PPM)], AllDataApr[Site Name], B16, AllDataApr[Season], "Winter"), "")</f>
        <v>12.8</v>
      </c>
      <c r="AA16" s="34">
        <f t="shared" si="8"/>
        <v>0.6480686695278971</v>
      </c>
      <c r="AB16" s="33">
        <f>IFERROR(AVERAGEIFS(AllDataApr[Phosphate (PPM)], AllDataApr[Site Name], B16, AllDataApr[Season], "Winter"),"")</f>
        <v>0.47800000000000004</v>
      </c>
      <c r="AC16" s="34">
        <f t="shared" si="9"/>
        <v>-0.22625899280575532</v>
      </c>
      <c r="AD16" s="65">
        <f>COUNTIFS(AllDataApr[Site Name], Tables!B16, AllDataApr[Season], "Spring")</f>
        <v>0</v>
      </c>
      <c r="AE16" s="32" t="str">
        <f>IFERROR(AVERAGEIFS(AllDataApr[Nitrate (PPM)], AllDataApr[Site Name], B16, AllDataApr[Season], "Spring"), "")</f>
        <v/>
      </c>
      <c r="AF16" s="34" t="str">
        <f t="shared" si="10"/>
        <v/>
      </c>
      <c r="AG16" s="33" t="str">
        <f>IFERROR(AVERAGEIFS(AllDataApr[Phosphate (PPM)], AllDataApr[Site Name], B16, AllDataApr[Season], "Spring"),"")</f>
        <v/>
      </c>
      <c r="AH16" s="74" t="str">
        <f t="shared" si="11"/>
        <v/>
      </c>
    </row>
    <row r="17" spans="1:34" x14ac:dyDescent="0.3">
      <c r="A17" s="45"/>
      <c r="B17" s="14" t="s">
        <v>279</v>
      </c>
      <c r="C17" s="29">
        <v>52.244900000000001</v>
      </c>
      <c r="D17" s="29">
        <v>-1.6617</v>
      </c>
      <c r="E17" s="14"/>
      <c r="F17" s="14" t="s">
        <v>185</v>
      </c>
      <c r="G17" s="30" t="s">
        <v>1037</v>
      </c>
      <c r="H17" s="31">
        <f>COUNTIF(AllDataApr[Site Name], Tables!B17)</f>
        <v>18</v>
      </c>
      <c r="I17" s="32">
        <f t="shared" si="0"/>
        <v>5.3441558441558445</v>
      </c>
      <c r="J17" s="33">
        <f t="shared" si="1"/>
        <v>0.53688311688311696</v>
      </c>
      <c r="K17" s="34" cm="1">
        <f t="array" ref="K17">SUM(COUNTIFS(AllDataApr[Site Name], B17, AllDataApr[Nitrate Pollution Category], {"High","Very high"}))/COUNTIFS(AllDataApr[Site Name], B17, AllDataApr[Nitrate (PPM)], "&lt;&gt;0")</f>
        <v>1</v>
      </c>
      <c r="L17" s="34" cm="1">
        <f t="array" ref="L17">SUM(COUNTIFS(AllDataApr[Site Name], B17, AllDataApr[Phosphate Pollution Category], {"High","Very high"}))/COUNTIFS(AllDataApr[Site Name], B17, AllDataApr[Phosphate (PPM)], "&lt;&gt;0")</f>
        <v>1</v>
      </c>
      <c r="M17" s="35">
        <f t="shared" si="2"/>
        <v>28</v>
      </c>
      <c r="N17" s="35">
        <f t="shared" si="3"/>
        <v>23</v>
      </c>
      <c r="O17" s="31">
        <f>COUNTIFS(AllDataApr[Site Name], Tables!B17, AllDataApr[Season], "Summer")</f>
        <v>0</v>
      </c>
      <c r="P17" s="32" t="str">
        <f>IFERROR(AVERAGEIFS(AllDataApr[Nitrate (PPM)], AllDataApr[Site Name], B17, AllDataApr[Season], "Summer"), "")</f>
        <v/>
      </c>
      <c r="Q17" s="34" t="str">
        <f t="shared" si="4"/>
        <v/>
      </c>
      <c r="R17" s="33" t="str">
        <f>IFERROR(AVERAGEIFS(AllDataApr[Phosphate (PPM)], AllDataApr[Site Name], B17, AllDataApr[Season], "Summer"),"")</f>
        <v/>
      </c>
      <c r="S17" s="36" t="str">
        <f t="shared" si="5"/>
        <v/>
      </c>
      <c r="T17" s="35">
        <f>COUNTIFS(AllDataApr[Site Name], Tables!B17, AllDataApr[Season], "Autumn")</f>
        <v>0</v>
      </c>
      <c r="U17" s="32" t="str">
        <f>IFERROR(AVERAGEIFS(AllDataApr[Nitrate (PPM)], AllDataApr[Site Name], B17, AllDataApr[Season], "Autumn"), "")</f>
        <v/>
      </c>
      <c r="V17" s="34" t="str">
        <f t="shared" si="6"/>
        <v/>
      </c>
      <c r="W17" s="33" t="str">
        <f>IFERROR(AVERAGEIFS(AllDataApr[Phosphate (PPM)], AllDataApr[Site Name], B17, AllDataApr[Season], "Autumn"), "")</f>
        <v/>
      </c>
      <c r="X17" s="36" t="str">
        <f t="shared" si="7"/>
        <v/>
      </c>
      <c r="Y17" s="35">
        <f>COUNTIFS(AllDataApr[Site Name], Tables!B17, AllDataApr[Season], "Winter")</f>
        <v>7</v>
      </c>
      <c r="Z17" s="32">
        <f>IFERROR(AVERAGEIFS(AllDataApr[Nitrate (PPM)], AllDataApr[Site Name], B17, AllDataApr[Season], "Winter"), "")</f>
        <v>6.1428571428571432</v>
      </c>
      <c r="AA17" s="34">
        <f t="shared" si="8"/>
        <v>0.14945321992709598</v>
      </c>
      <c r="AB17" s="33">
        <f>IFERROR(AVERAGEIFS(AllDataApr[Phosphate (PPM)], AllDataApr[Site Name], B17, AllDataApr[Season], "Winter"),"")</f>
        <v>0.61285714285714288</v>
      </c>
      <c r="AC17" s="34">
        <f t="shared" si="9"/>
        <v>0.14150943396226401</v>
      </c>
      <c r="AD17" s="65">
        <f>COUNTIFS(AllDataApr[Site Name], Tables!B17, AllDataApr[Season], "Spring")</f>
        <v>11</v>
      </c>
      <c r="AE17" s="32">
        <f>IFERROR(AVERAGEIFS(AllDataApr[Nitrate (PPM)], AllDataApr[Site Name], B17, AllDataApr[Season], "Spring"), "")</f>
        <v>4.5454545454545459</v>
      </c>
      <c r="AF17" s="34">
        <f t="shared" si="10"/>
        <v>-0.14945321992709598</v>
      </c>
      <c r="AG17" s="33">
        <f>IFERROR(AVERAGEIFS(AllDataApr[Phosphate (PPM)], AllDataApr[Site Name], B17, AllDataApr[Season], "Spring"),"")</f>
        <v>0.46090909090909093</v>
      </c>
      <c r="AH17" s="74">
        <f t="shared" si="11"/>
        <v>-0.14150943396226423</v>
      </c>
    </row>
    <row r="18" spans="1:34" x14ac:dyDescent="0.3">
      <c r="A18" s="45"/>
      <c r="B18" s="14" t="s">
        <v>231</v>
      </c>
      <c r="C18" s="29">
        <f>AVERAGEIF(AllDataApr[Site Name], Tables!B18, AllDataApr[Latitude])</f>
        <v>51.997371733333338</v>
      </c>
      <c r="D18" s="29">
        <f>AVERAGEIF(AllDataApr[Site Name], Tables!B18, AllDataApr[Longitude])</f>
        <v>-2.1561772000000001</v>
      </c>
      <c r="E18" s="14"/>
      <c r="F18" s="14" t="s">
        <v>187</v>
      </c>
      <c r="G18" s="30" t="s">
        <v>191</v>
      </c>
      <c r="H18" s="31">
        <f>COUNTIF(AllDataApr[Site Name], Tables!B18)</f>
        <v>19</v>
      </c>
      <c r="I18" s="32">
        <f t="shared" si="0"/>
        <v>6.3269230769230766</v>
      </c>
      <c r="J18" s="33">
        <f t="shared" si="1"/>
        <v>0.72435897435897423</v>
      </c>
      <c r="K18" s="34" cm="1">
        <f t="array" ref="K18">SUM(COUNTIFS(AllDataApr[Site Name], B18, AllDataApr[Nitrate Pollution Category], {"High","Very high"}))/COUNTIFS(AllDataApr[Site Name], B18, AllDataApr[Nitrate (PPM)], "&lt;&gt;0")</f>
        <v>1</v>
      </c>
      <c r="L18" s="34" cm="1">
        <f t="array" ref="L18">SUM(COUNTIFS(AllDataApr[Site Name], B18, AllDataApr[Phosphate Pollution Category], {"High","Very high"}))/COUNTIFS(AllDataApr[Site Name], B18, AllDataApr[Phosphate (PPM)], "&lt;&gt;0")</f>
        <v>1</v>
      </c>
      <c r="M18" s="35">
        <f t="shared" si="2"/>
        <v>20</v>
      </c>
      <c r="N18" s="35">
        <f t="shared" si="3"/>
        <v>6</v>
      </c>
      <c r="O18" s="31">
        <f>COUNTIFS(AllDataApr[Site Name], Tables!B18, AllDataApr[Season], "Summer")</f>
        <v>0</v>
      </c>
      <c r="P18" s="32" t="str">
        <f>IFERROR(AVERAGEIFS(AllDataApr[Nitrate (PPM)], AllDataApr[Site Name], B18, AllDataApr[Season], "Summer"), "")</f>
        <v/>
      </c>
      <c r="Q18" s="34" t="str">
        <f t="shared" si="4"/>
        <v/>
      </c>
      <c r="R18" s="33" t="str">
        <f>IFERROR(AVERAGEIFS(AllDataApr[Phosphate (PPM)], AllDataApr[Site Name], B18, AllDataApr[Season], "Summer"),"")</f>
        <v/>
      </c>
      <c r="S18" s="36" t="str">
        <f t="shared" si="5"/>
        <v/>
      </c>
      <c r="T18" s="35">
        <f>COUNTIFS(AllDataApr[Site Name], Tables!B18, AllDataApr[Season], "Autumn")</f>
        <v>0</v>
      </c>
      <c r="U18" s="32" t="str">
        <f>IFERROR(AVERAGEIFS(AllDataApr[Nitrate (PPM)], AllDataApr[Site Name], B18, AllDataApr[Season], "Autumn"), "")</f>
        <v/>
      </c>
      <c r="V18" s="34" t="str">
        <f t="shared" si="6"/>
        <v/>
      </c>
      <c r="W18" s="33" t="str">
        <f>IFERROR(AVERAGEIFS(AllDataApr[Phosphate (PPM)], AllDataApr[Site Name], B18, AllDataApr[Season], "Autumn"), "")</f>
        <v/>
      </c>
      <c r="X18" s="36" t="str">
        <f t="shared" si="7"/>
        <v/>
      </c>
      <c r="Y18" s="35">
        <f>COUNTIFS(AllDataApr[Site Name], Tables!B18, AllDataApr[Season], "Winter")</f>
        <v>6</v>
      </c>
      <c r="Z18" s="32">
        <f>IFERROR(AVERAGEIFS(AllDataApr[Nitrate (PPM)], AllDataApr[Site Name], B18, AllDataApr[Season], "Winter"), "")</f>
        <v>6.5</v>
      </c>
      <c r="AA18" s="34">
        <f t="shared" si="8"/>
        <v>2.7355623100303997E-2</v>
      </c>
      <c r="AB18" s="33">
        <f>IFERROR(AVERAGEIFS(AllDataApr[Phosphate (PPM)], AllDataApr[Site Name], B18, AllDataApr[Season], "Winter"),"")</f>
        <v>0.87333333333333318</v>
      </c>
      <c r="AC18" s="34">
        <f t="shared" si="9"/>
        <v>0.20566371681415929</v>
      </c>
      <c r="AD18" s="65">
        <f>COUNTIFS(AllDataApr[Site Name], Tables!B18, AllDataApr[Season], "Spring")</f>
        <v>13</v>
      </c>
      <c r="AE18" s="32">
        <f>IFERROR(AVERAGEIFS(AllDataApr[Nitrate (PPM)], AllDataApr[Site Name], B18, AllDataApr[Season], "Spring"), "")</f>
        <v>6.1538461538461542</v>
      </c>
      <c r="AF18" s="34">
        <f t="shared" si="10"/>
        <v>-2.7355623100303855E-2</v>
      </c>
      <c r="AG18" s="33">
        <f>IFERROR(AVERAGEIFS(AllDataApr[Phosphate (PPM)], AllDataApr[Site Name], B18, AllDataApr[Season], "Spring"),"")</f>
        <v>0.57538461538461538</v>
      </c>
      <c r="AH18" s="74">
        <f t="shared" si="11"/>
        <v>-0.20566371681415915</v>
      </c>
    </row>
    <row r="19" spans="1:34" x14ac:dyDescent="0.3">
      <c r="A19" s="45"/>
      <c r="B19" s="14" t="s">
        <v>179</v>
      </c>
      <c r="C19" s="29">
        <f>AVERAGEIF(AllDataApr[Site Name], Tables!B19, AllDataApr[Latitude])</f>
        <v>51.996539739130434</v>
      </c>
      <c r="D19" s="29">
        <f>AVERAGEIF(AllDataApr[Site Name], Tables!B19, AllDataApr[Longitude])</f>
        <v>-2.1554027391304342</v>
      </c>
      <c r="E19" s="14"/>
      <c r="F19" s="14" t="s">
        <v>187</v>
      </c>
      <c r="G19" s="30" t="s">
        <v>190</v>
      </c>
      <c r="H19" s="31">
        <f>COUNTIF(AllDataApr[Site Name], Tables!B19)</f>
        <v>37</v>
      </c>
      <c r="I19" s="32">
        <f t="shared" si="0"/>
        <v>5.7542735042735043</v>
      </c>
      <c r="J19" s="33">
        <f t="shared" si="1"/>
        <v>0.4710256410256411</v>
      </c>
      <c r="K19" s="34" cm="1">
        <f t="array" ref="K19">SUM(COUNTIFS(AllDataApr[Site Name], B19, AllDataApr[Nitrate Pollution Category], {"High","Very high"}))/COUNTIFS(AllDataApr[Site Name], B19, AllDataApr[Nitrate (PPM)], "&lt;&gt;0")</f>
        <v>1</v>
      </c>
      <c r="L19" s="34" cm="1">
        <f t="array" ref="L19">SUM(COUNTIFS(AllDataApr[Site Name], B19, AllDataApr[Phosphate Pollution Category], {"High","Very high"}))/COUNTIFS(AllDataApr[Site Name], B19, AllDataApr[Phosphate (PPM)], "&lt;&gt;0")</f>
        <v>1</v>
      </c>
      <c r="M19" s="35">
        <f t="shared" si="2"/>
        <v>23</v>
      </c>
      <c r="N19" s="35">
        <f t="shared" si="3"/>
        <v>28</v>
      </c>
      <c r="O19" s="31">
        <f>COUNTIFS(AllDataApr[Site Name], Tables!B19, AllDataApr[Season], "Summer")</f>
        <v>2</v>
      </c>
      <c r="P19" s="32">
        <f>IFERROR(AVERAGEIFS(AllDataApr[Nitrate (PPM)], AllDataApr[Site Name], B19, AllDataApr[Season], "Summer"), "")</f>
        <v>6</v>
      </c>
      <c r="Q19" s="34">
        <f t="shared" si="4"/>
        <v>4.2703304864463429E-2</v>
      </c>
      <c r="R19" s="33">
        <f>IFERROR(AVERAGEIFS(AllDataApr[Phosphate (PPM)], AllDataApr[Site Name], B19, AllDataApr[Season], "Summer"),"")</f>
        <v>0.64</v>
      </c>
      <c r="S19" s="36">
        <f t="shared" si="5"/>
        <v>0.35873707131192145</v>
      </c>
      <c r="T19" s="35">
        <f>COUNTIFS(AllDataApr[Site Name], Tables!B19, AllDataApr[Season], "Autumn")</f>
        <v>9</v>
      </c>
      <c r="U19" s="32">
        <f>IFERROR(AVERAGEIFS(AllDataApr[Nitrate (PPM)], AllDataApr[Site Name], B19, AllDataApr[Season], "Autumn"), "")</f>
        <v>6.5555555555555554</v>
      </c>
      <c r="V19" s="34">
        <f t="shared" si="6"/>
        <v>0.13924990716672853</v>
      </c>
      <c r="W19" s="33">
        <f>IFERROR(AVERAGEIFS(AllDataApr[Phosphate (PPM)], AllDataApr[Site Name], B19, AllDataApr[Season], "Autumn"), "")</f>
        <v>0.54333333333333345</v>
      </c>
      <c r="X19" s="36">
        <f t="shared" si="7"/>
        <v>0.15351115949918351</v>
      </c>
      <c r="Y19" s="35">
        <f>COUNTIFS(AllDataApr[Site Name], Tables!B19, AllDataApr[Season], "Winter")</f>
        <v>13</v>
      </c>
      <c r="Z19" s="32">
        <f>IFERROR(AVERAGEIFS(AllDataApr[Nitrate (PPM)], AllDataApr[Site Name], B19, AllDataApr[Season], "Winter"), "")</f>
        <v>4.8461538461538458</v>
      </c>
      <c r="AA19" s="34">
        <f t="shared" si="8"/>
        <v>-0.15781656145562575</v>
      </c>
      <c r="AB19" s="33">
        <f>IFERROR(AVERAGEIFS(AllDataApr[Phosphate (PPM)], AllDataApr[Site Name], B19, AllDataApr[Season], "Winter"),"")</f>
        <v>0.40846153846153849</v>
      </c>
      <c r="AC19" s="34">
        <f t="shared" si="9"/>
        <v>-0.13282525857376165</v>
      </c>
      <c r="AD19" s="65">
        <f>COUNTIFS(AllDataApr[Site Name], Tables!B19, AllDataApr[Season], "Spring")</f>
        <v>13</v>
      </c>
      <c r="AE19" s="32">
        <f>IFERROR(AVERAGEIFS(AllDataApr[Nitrate (PPM)], AllDataApr[Site Name], B19, AllDataApr[Season], "Spring"), "")</f>
        <v>5.615384615384615</v>
      </c>
      <c r="AF19" s="34">
        <f t="shared" si="10"/>
        <v>-2.4136650575566351E-2</v>
      </c>
      <c r="AG19" s="33">
        <f>IFERROR(AVERAGEIFS(AllDataApr[Phosphate (PPM)], AllDataApr[Site Name], B19, AllDataApr[Season], "Spring"),"")</f>
        <v>0.29230769230769232</v>
      </c>
      <c r="AH19" s="74">
        <f t="shared" si="11"/>
        <v>-0.37942297223734356</v>
      </c>
    </row>
    <row r="20" spans="1:34" x14ac:dyDescent="0.3">
      <c r="A20" s="45"/>
      <c r="B20" s="14" t="s">
        <v>1024</v>
      </c>
      <c r="C20" s="29">
        <f>AVERAGEIF(AllDataApr[Site Name], Tables!B20, AllDataApr[Latitude])</f>
        <v>52.01456125</v>
      </c>
      <c r="D20" s="29">
        <f>AVERAGEIF(AllDataApr[Site Name], Tables!B20, AllDataApr[Longitude])</f>
        <v>-2.125364625</v>
      </c>
      <c r="E20" s="14"/>
      <c r="F20" s="14" t="s">
        <v>187</v>
      </c>
      <c r="G20" s="30" t="s">
        <v>190</v>
      </c>
      <c r="H20" s="31">
        <f>COUNTIF(AllDataApr[Site Name], Tables!B20)</f>
        <v>8</v>
      </c>
      <c r="I20" s="32">
        <f t="shared" si="0"/>
        <v>7</v>
      </c>
      <c r="J20" s="33">
        <f t="shared" si="1"/>
        <v>0.34125</v>
      </c>
      <c r="K20" s="34" cm="1">
        <f t="array" ref="K20">SUM(COUNTIFS(AllDataApr[Site Name], B20, AllDataApr[Nitrate Pollution Category], {"High","Very high"}))/COUNTIFS(AllDataApr[Site Name], B20, AllDataApr[Nitrate (PPM)], "&lt;&gt;0")</f>
        <v>1</v>
      </c>
      <c r="L20" s="34" cm="1">
        <f t="array" ref="L20">SUM(COUNTIFS(AllDataApr[Site Name], B20, AllDataApr[Phosphate Pollution Category], {"High","Very high"}))/COUNTIFS(AllDataApr[Site Name], B20, AllDataApr[Phosphate (PPM)], "&lt;&gt;0")</f>
        <v>1</v>
      </c>
      <c r="M20" s="35">
        <f t="shared" si="2"/>
        <v>14</v>
      </c>
      <c r="N20" s="35">
        <f t="shared" si="3"/>
        <v>35</v>
      </c>
      <c r="O20" s="31">
        <f>COUNTIFS(AllDataApr[Site Name], Tables!B20, AllDataApr[Season], "Summer")</f>
        <v>0</v>
      </c>
      <c r="P20" s="32" t="str">
        <f>IFERROR(AVERAGEIFS(AllDataApr[Nitrate (PPM)], AllDataApr[Site Name], B20, AllDataApr[Season], "Summer"), "")</f>
        <v/>
      </c>
      <c r="Q20" s="34" t="str">
        <f t="shared" si="4"/>
        <v/>
      </c>
      <c r="R20" s="33" t="str">
        <f>IFERROR(AVERAGEIFS(AllDataApr[Phosphate (PPM)], AllDataApr[Site Name], B20, AllDataApr[Season], "Summer"),"")</f>
        <v/>
      </c>
      <c r="S20" s="36" t="str">
        <f t="shared" si="5"/>
        <v/>
      </c>
      <c r="T20" s="35">
        <f>COUNTIFS(AllDataApr[Site Name], Tables!B20, AllDataApr[Season], "Autumn")</f>
        <v>0</v>
      </c>
      <c r="U20" s="32" t="str">
        <f>IFERROR(AVERAGEIFS(AllDataApr[Nitrate (PPM)], AllDataApr[Site Name], B20, AllDataApr[Season], "Autumn"), "")</f>
        <v/>
      </c>
      <c r="V20" s="34" t="str">
        <f t="shared" si="6"/>
        <v/>
      </c>
      <c r="W20" s="33" t="str">
        <f>IFERROR(AVERAGEIFS(AllDataApr[Phosphate (PPM)], AllDataApr[Site Name], B20, AllDataApr[Season], "Autumn"), "")</f>
        <v/>
      </c>
      <c r="X20" s="36" t="str">
        <f t="shared" si="7"/>
        <v/>
      </c>
      <c r="Y20" s="35">
        <f>COUNTIFS(AllDataApr[Site Name], Tables!B20, AllDataApr[Season], "Winter")</f>
        <v>0</v>
      </c>
      <c r="Z20" s="32" t="str">
        <f>IFERROR(AVERAGEIFS(AllDataApr[Nitrate (PPM)], AllDataApr[Site Name], B20, AllDataApr[Season], "Winter"), "")</f>
        <v/>
      </c>
      <c r="AA20" s="34" t="str">
        <f t="shared" si="8"/>
        <v/>
      </c>
      <c r="AB20" s="33" t="str">
        <f>IFERROR(AVERAGEIFS(AllDataApr[Phosphate (PPM)], AllDataApr[Site Name], B20, AllDataApr[Season], "Winter"),"")</f>
        <v/>
      </c>
      <c r="AC20" s="34" t="str">
        <f t="shared" si="9"/>
        <v/>
      </c>
      <c r="AD20" s="65">
        <f>COUNTIFS(AllDataApr[Site Name], Tables!B20, AllDataApr[Season], "Spring")</f>
        <v>8</v>
      </c>
      <c r="AE20" s="32">
        <f>IFERROR(AVERAGEIFS(AllDataApr[Nitrate (PPM)], AllDataApr[Site Name], B20, AllDataApr[Season], "Spring"), "")</f>
        <v>7</v>
      </c>
      <c r="AF20" s="34">
        <f t="shared" si="10"/>
        <v>0</v>
      </c>
      <c r="AG20" s="33">
        <f>IFERROR(AVERAGEIFS(AllDataApr[Phosphate (PPM)], AllDataApr[Site Name], B20, AllDataApr[Season], "Spring"),"")</f>
        <v>0.34125</v>
      </c>
      <c r="AH20" s="74">
        <f t="shared" si="11"/>
        <v>0</v>
      </c>
    </row>
    <row r="21" spans="1:34" x14ac:dyDescent="0.3">
      <c r="A21" s="45"/>
      <c r="B21" s="14" t="s">
        <v>1022</v>
      </c>
      <c r="C21" s="29">
        <f>AVERAGEIF(AllDataApr[Site Name], Tables!B21, AllDataApr[Latitude])</f>
        <v>52.000020000000006</v>
      </c>
      <c r="D21" s="29">
        <f>AVERAGEIF(AllDataApr[Site Name], Tables!B21, AllDataApr[Longitude])</f>
        <v>-2.1416771428571431</v>
      </c>
      <c r="E21" s="14"/>
      <c r="F21" s="14" t="s">
        <v>187</v>
      </c>
      <c r="G21" s="30" t="s">
        <v>190</v>
      </c>
      <c r="H21" s="31">
        <f>COUNTIF(AllDataApr[Site Name], Tables!B21)</f>
        <v>8</v>
      </c>
      <c r="I21" s="32">
        <f t="shared" si="0"/>
        <v>7.25</v>
      </c>
      <c r="J21" s="33">
        <f t="shared" si="1"/>
        <v>0.45375000000000004</v>
      </c>
      <c r="K21" s="34" cm="1">
        <f t="array" ref="K21">SUM(COUNTIFS(AllDataApr[Site Name], B21, AllDataApr[Nitrate Pollution Category], {"High","Very high"}))/COUNTIFS(AllDataApr[Site Name], B21, AllDataApr[Nitrate (PPM)], "&lt;&gt;0")</f>
        <v>1</v>
      </c>
      <c r="L21" s="34" cm="1">
        <f t="array" ref="L21">SUM(COUNTIFS(AllDataApr[Site Name], B21, AllDataApr[Phosphate Pollution Category], {"High","Very high"}))/COUNTIFS(AllDataApr[Site Name], B21, AllDataApr[Phosphate (PPM)], "&lt;&gt;0")</f>
        <v>1</v>
      </c>
      <c r="M21" s="35">
        <f t="shared" si="2"/>
        <v>12</v>
      </c>
      <c r="N21" s="35">
        <f t="shared" si="3"/>
        <v>29</v>
      </c>
      <c r="O21" s="31">
        <f>COUNTIFS(AllDataApr[Site Name], Tables!B21, AllDataApr[Season], "Summer")</f>
        <v>0</v>
      </c>
      <c r="P21" s="32" t="str">
        <f>IFERROR(AVERAGEIFS(AllDataApr[Nitrate (PPM)], AllDataApr[Site Name], B21, AllDataApr[Season], "Summer"), "")</f>
        <v/>
      </c>
      <c r="Q21" s="34" t="str">
        <f t="shared" si="4"/>
        <v/>
      </c>
      <c r="R21" s="33" t="str">
        <f>IFERROR(AVERAGEIFS(AllDataApr[Phosphate (PPM)], AllDataApr[Site Name], B21, AllDataApr[Season], "Summer"),"")</f>
        <v/>
      </c>
      <c r="S21" s="36" t="str">
        <f t="shared" si="5"/>
        <v/>
      </c>
      <c r="T21" s="35">
        <f>COUNTIFS(AllDataApr[Site Name], Tables!B21, AllDataApr[Season], "Autumn")</f>
        <v>0</v>
      </c>
      <c r="U21" s="32" t="str">
        <f>IFERROR(AVERAGEIFS(AllDataApr[Nitrate (PPM)], AllDataApr[Site Name], B21, AllDataApr[Season], "Autumn"), "")</f>
        <v/>
      </c>
      <c r="V21" s="34" t="str">
        <f t="shared" si="6"/>
        <v/>
      </c>
      <c r="W21" s="33" t="str">
        <f>IFERROR(AVERAGEIFS(AllDataApr[Phosphate (PPM)], AllDataApr[Site Name], B21, AllDataApr[Season], "Autumn"), "")</f>
        <v/>
      </c>
      <c r="X21" s="36" t="str">
        <f t="shared" si="7"/>
        <v/>
      </c>
      <c r="Y21" s="35">
        <f>COUNTIFS(AllDataApr[Site Name], Tables!B21, AllDataApr[Season], "Winter")</f>
        <v>0</v>
      </c>
      <c r="Z21" s="32" t="str">
        <f>IFERROR(AVERAGEIFS(AllDataApr[Nitrate (PPM)], AllDataApr[Site Name], B21, AllDataApr[Season], "Winter"), "")</f>
        <v/>
      </c>
      <c r="AA21" s="34" t="str">
        <f t="shared" si="8"/>
        <v/>
      </c>
      <c r="AB21" s="33" t="str">
        <f>IFERROR(AVERAGEIFS(AllDataApr[Phosphate (PPM)], AllDataApr[Site Name], B21, AllDataApr[Season], "Winter"),"")</f>
        <v/>
      </c>
      <c r="AC21" s="34" t="str">
        <f t="shared" si="9"/>
        <v/>
      </c>
      <c r="AD21" s="65">
        <f>COUNTIFS(AllDataApr[Site Name], Tables!B21, AllDataApr[Season], "Spring")</f>
        <v>8</v>
      </c>
      <c r="AE21" s="32">
        <f>IFERROR(AVERAGEIFS(AllDataApr[Nitrate (PPM)], AllDataApr[Site Name], B21, AllDataApr[Season], "Spring"), "")</f>
        <v>7.25</v>
      </c>
      <c r="AF21" s="34">
        <f t="shared" si="10"/>
        <v>0</v>
      </c>
      <c r="AG21" s="33">
        <f>IFERROR(AVERAGEIFS(AllDataApr[Phosphate (PPM)], AllDataApr[Site Name], B21, AllDataApr[Season], "Spring"),"")</f>
        <v>0.45375000000000004</v>
      </c>
      <c r="AH21" s="74">
        <f t="shared" si="11"/>
        <v>0</v>
      </c>
    </row>
    <row r="22" spans="1:34" x14ac:dyDescent="0.3">
      <c r="A22" s="45"/>
      <c r="B22" s="14" t="s">
        <v>1030</v>
      </c>
      <c r="C22" s="29">
        <f>AVERAGEIF(AllDataApr[Site Name], Tables!B22, AllDataApr[Latitude])</f>
        <v>52.166358899999985</v>
      </c>
      <c r="D22" s="29">
        <f>AVERAGEIF(AllDataApr[Site Name], Tables!B22, AllDataApr[Longitude])</f>
        <v>-1.6747082666666675</v>
      </c>
      <c r="E22" s="14"/>
      <c r="F22" s="14" t="s">
        <v>185</v>
      </c>
      <c r="G22" s="30" t="s">
        <v>192</v>
      </c>
      <c r="H22" s="31">
        <f>COUNTIF(AllDataApr[Site Name], Tables!B22)</f>
        <v>30</v>
      </c>
      <c r="I22" s="32">
        <f t="shared" si="0"/>
        <v>6.5346320346320352</v>
      </c>
      <c r="J22" s="33">
        <f t="shared" si="1"/>
        <v>0.29977633477633475</v>
      </c>
      <c r="K22" s="34" cm="1">
        <f t="array" ref="K22">SUM(COUNTIFS(AllDataApr[Site Name], B22, AllDataApr[Nitrate Pollution Category], {"High","Very high"}))/COUNTIFS(AllDataApr[Site Name], B22, AllDataApr[Nitrate (PPM)], "&lt;&gt;0")</f>
        <v>1</v>
      </c>
      <c r="L22" s="34" cm="1">
        <f t="array" ref="L22">SUM(COUNTIFS(AllDataApr[Site Name], B22, AllDataApr[Phosphate Pollution Category], {"High","Very high"}))/COUNTIFS(AllDataApr[Site Name], B22, AllDataApr[Phosphate (PPM)], "&lt;&gt;0")</f>
        <v>1</v>
      </c>
      <c r="M22" s="35">
        <f t="shared" si="2"/>
        <v>18</v>
      </c>
      <c r="N22" s="35">
        <f t="shared" si="3"/>
        <v>39</v>
      </c>
      <c r="O22" s="31">
        <f>COUNTIFS(AllDataApr[Site Name], Tables!B22, AllDataApr[Season], "Summer")</f>
        <v>0</v>
      </c>
      <c r="P22" s="32" t="str">
        <f>IFERROR(AVERAGEIFS(AllDataApr[Nitrate (PPM)], AllDataApr[Site Name], B22, AllDataApr[Season], "Summer"), "")</f>
        <v/>
      </c>
      <c r="Q22" s="34" t="str">
        <f t="shared" si="4"/>
        <v/>
      </c>
      <c r="R22" s="33" t="str">
        <f>IFERROR(AVERAGEIFS(AllDataApr[Phosphate (PPM)], AllDataApr[Site Name], B22, AllDataApr[Season], "Summer"),"")</f>
        <v/>
      </c>
      <c r="S22" s="36" t="str">
        <f t="shared" si="5"/>
        <v/>
      </c>
      <c r="T22" s="35">
        <f>COUNTIFS(AllDataApr[Site Name], Tables!B22, AllDataApr[Season], "Autumn")</f>
        <v>7</v>
      </c>
      <c r="U22" s="32">
        <f>IFERROR(AVERAGEIFS(AllDataApr[Nitrate (PPM)], AllDataApr[Site Name], B22, AllDataApr[Season], "Autumn"), "")</f>
        <v>6.2857142857142856</v>
      </c>
      <c r="V22" s="34">
        <f t="shared" si="6"/>
        <v>-3.8092083471348237E-2</v>
      </c>
      <c r="W22" s="33">
        <f>IFERROR(AVERAGEIFS(AllDataApr[Phosphate (PPM)], AllDataApr[Site Name], B22, AllDataApr[Season], "Autumn"), "")</f>
        <v>0.33857142857142852</v>
      </c>
      <c r="X22" s="36">
        <f t="shared" si="7"/>
        <v>0.12941346362126638</v>
      </c>
      <c r="Y22" s="35">
        <f>COUNTIFS(AllDataApr[Site Name], Tables!B22, AllDataApr[Season], "Winter")</f>
        <v>12</v>
      </c>
      <c r="Z22" s="32">
        <f>IFERROR(AVERAGEIFS(AllDataApr[Nitrate (PPM)], AllDataApr[Site Name], B22, AllDataApr[Season], "Winter"), "")</f>
        <v>5.5</v>
      </c>
      <c r="AA22" s="34">
        <f t="shared" si="8"/>
        <v>-0.1583305730374297</v>
      </c>
      <c r="AB22" s="33">
        <f>IFERROR(AVERAGEIFS(AllDataApr[Phosphate (PPM)], AllDataApr[Site Name], B22, AllDataApr[Season], "Winter"),"")</f>
        <v>0.33166666666666667</v>
      </c>
      <c r="AC22" s="34">
        <f t="shared" si="9"/>
        <v>0.10638041830128291</v>
      </c>
      <c r="AD22" s="65">
        <f>COUNTIFS(AllDataApr[Site Name], Tables!B22, AllDataApr[Season], "Spring")</f>
        <v>11</v>
      </c>
      <c r="AE22" s="32">
        <f>IFERROR(AVERAGEIFS(AllDataApr[Nitrate (PPM)], AllDataApr[Site Name], B22, AllDataApr[Season], "Spring"), "")</f>
        <v>7.8181818181818183</v>
      </c>
      <c r="AF22" s="34">
        <f t="shared" si="10"/>
        <v>0.19642265650877766</v>
      </c>
      <c r="AG22" s="33">
        <f>IFERROR(AVERAGEIFS(AllDataApr[Phosphate (PPM)], AllDataApr[Site Name], B22, AllDataApr[Season], "Spring"),"")</f>
        <v>0.2290909090909091</v>
      </c>
      <c r="AH22" s="74">
        <f t="shared" si="11"/>
        <v>-0.23579388192254921</v>
      </c>
    </row>
    <row r="23" spans="1:34" x14ac:dyDescent="0.3">
      <c r="A23" s="45"/>
      <c r="B23" s="14" t="s">
        <v>1032</v>
      </c>
      <c r="C23" s="29">
        <f>AVERAGEIF(AllDataApr[Site Name], Tables!B23, AllDataApr[Latitude])</f>
        <v>52.172840000000001</v>
      </c>
      <c r="D23" s="29">
        <f>AVERAGEIF(AllDataApr[Site Name], Tables!B23, AllDataApr[Longitude])</f>
        <v>-1.71377</v>
      </c>
      <c r="E23" s="14"/>
      <c r="F23" s="14" t="s">
        <v>185</v>
      </c>
      <c r="G23" s="30" t="s">
        <v>192</v>
      </c>
      <c r="H23" s="31">
        <f>COUNTIF(AllDataApr[Site Name], Tables!B23)</f>
        <v>6</v>
      </c>
      <c r="I23" s="32">
        <f t="shared" si="0"/>
        <v>5.666666666666667</v>
      </c>
      <c r="J23" s="33">
        <f t="shared" si="1"/>
        <v>0.29000000000000004</v>
      </c>
      <c r="K23" s="34" cm="1">
        <f t="array" ref="K23">SUM(COUNTIFS(AllDataApr[Site Name], B23, AllDataApr[Nitrate Pollution Category], {"High","Very high"}))/COUNTIFS(AllDataApr[Site Name], B23, AllDataApr[Nitrate (PPM)], "&lt;&gt;0")</f>
        <v>1</v>
      </c>
      <c r="L23" s="34" cm="1">
        <f t="array" ref="L23">SUM(COUNTIFS(AllDataApr[Site Name], B23, AllDataApr[Phosphate Pollution Category], {"High","Very high"}))/COUNTIFS(AllDataApr[Site Name], B23, AllDataApr[Phosphate (PPM)], "&lt;&gt;0")</f>
        <v>1</v>
      </c>
      <c r="M23" s="35">
        <f t="shared" si="2"/>
        <v>25</v>
      </c>
      <c r="N23" s="35">
        <f t="shared" si="3"/>
        <v>40</v>
      </c>
      <c r="O23" s="31">
        <f>COUNTIFS(AllDataApr[Site Name], Tables!B23, AllDataApr[Season], "Summer")</f>
        <v>0</v>
      </c>
      <c r="P23" s="32" t="str">
        <f>IFERROR(AVERAGEIFS(AllDataApr[Nitrate (PPM)], AllDataApr[Site Name], B23, AllDataApr[Season], "Summer"), "")</f>
        <v/>
      </c>
      <c r="Q23" s="34" t="str">
        <f t="shared" ref="Q23:Q55" si="12">IFERROR((P23-I23)/I23, "")</f>
        <v/>
      </c>
      <c r="R23" s="33" t="str">
        <f>IFERROR(AVERAGEIFS(AllDataApr[Phosphate (PPM)], AllDataApr[Site Name], B23, AllDataApr[Season], "Summer"),"")</f>
        <v/>
      </c>
      <c r="S23" s="36" t="str">
        <f t="shared" ref="S23:S55" si="13">IFERROR((R23-J23)/J23, "")</f>
        <v/>
      </c>
      <c r="T23" s="35">
        <f>COUNTIFS(AllDataApr[Site Name], Tables!B23, AllDataApr[Season], "Autumn")</f>
        <v>0</v>
      </c>
      <c r="U23" s="32" t="str">
        <f>IFERROR(AVERAGEIFS(AllDataApr[Nitrate (PPM)], AllDataApr[Site Name], B23, AllDataApr[Season], "Autumn"), "")</f>
        <v/>
      </c>
      <c r="V23" s="34" t="str">
        <f t="shared" si="6"/>
        <v/>
      </c>
      <c r="W23" s="33" t="str">
        <f>IFERROR(AVERAGEIFS(AllDataApr[Phosphate (PPM)], AllDataApr[Site Name], B23, AllDataApr[Season], "Autumn"), "")</f>
        <v/>
      </c>
      <c r="X23" s="36" t="str">
        <f t="shared" si="7"/>
        <v/>
      </c>
      <c r="Y23" s="35">
        <f>COUNTIFS(AllDataApr[Site Name], Tables!B23, AllDataApr[Season], "Winter")</f>
        <v>6</v>
      </c>
      <c r="Z23" s="32">
        <f>IFERROR(AVERAGEIFS(AllDataApr[Nitrate (PPM)], AllDataApr[Site Name], B23, AllDataApr[Season], "Winter"), "")</f>
        <v>5.666666666666667</v>
      </c>
      <c r="AA23" s="34">
        <f t="shared" si="8"/>
        <v>0</v>
      </c>
      <c r="AB23" s="33">
        <f>IFERROR(AVERAGEIFS(AllDataApr[Phosphate (PPM)], AllDataApr[Site Name], B23, AllDataApr[Season], "Winter"),"")</f>
        <v>0.29000000000000004</v>
      </c>
      <c r="AC23" s="34">
        <f t="shared" si="9"/>
        <v>0</v>
      </c>
      <c r="AD23" s="65">
        <f>COUNTIFS(AllDataApr[Site Name], Tables!B23, AllDataApr[Season], "Spring")</f>
        <v>0</v>
      </c>
      <c r="AE23" s="32" t="str">
        <f>IFERROR(AVERAGEIFS(AllDataApr[Nitrate (PPM)], AllDataApr[Site Name], B23, AllDataApr[Season], "Spring"), "")</f>
        <v/>
      </c>
      <c r="AF23" s="34" t="str">
        <f t="shared" si="10"/>
        <v/>
      </c>
      <c r="AG23" s="33" t="str">
        <f>IFERROR(AVERAGEIFS(AllDataApr[Phosphate (PPM)], AllDataApr[Site Name], B23, AllDataApr[Season], "Spring"),"")</f>
        <v/>
      </c>
      <c r="AH23" s="74" t="str">
        <f t="shared" si="11"/>
        <v/>
      </c>
    </row>
    <row r="24" spans="1:34" x14ac:dyDescent="0.3">
      <c r="A24" s="45"/>
      <c r="B24" s="14" t="s">
        <v>910</v>
      </c>
      <c r="C24" s="29">
        <f>AVERAGEIF(AllDataApr[Site Name], Tables!B24, AllDataApr[Latitude])</f>
        <v>52.070000352941165</v>
      </c>
      <c r="D24" s="29">
        <f>AVERAGEIF(AllDataApr[Site Name], Tables!B24, AllDataApr[Longitude])</f>
        <v>-1.6120643529411769</v>
      </c>
      <c r="E24" s="14" t="s">
        <v>18</v>
      </c>
      <c r="F24" s="14" t="s">
        <v>188</v>
      </c>
      <c r="G24" s="30" t="s">
        <v>192</v>
      </c>
      <c r="H24" s="31">
        <f>COUNTIF(AllDataApr[Site Name], Tables!B24)</f>
        <v>18</v>
      </c>
      <c r="I24" s="32">
        <f t="shared" si="0"/>
        <v>6.9749999999999996</v>
      </c>
      <c r="J24" s="33">
        <f t="shared" si="1"/>
        <v>0.33624999999999994</v>
      </c>
      <c r="K24" s="34" cm="1">
        <f t="array" ref="K24">SUM(COUNTIFS(AllDataApr[Site Name], B24, AllDataApr[Nitrate Pollution Category], {"High","Very high"}))/COUNTIFS(AllDataApr[Site Name], B24, AllDataApr[Nitrate (PPM)], "&lt;&gt;0")</f>
        <v>1</v>
      </c>
      <c r="L24" s="34" cm="1">
        <f t="array" ref="L24">SUM(COUNTIFS(AllDataApr[Site Name], B24, AllDataApr[Phosphate Pollution Category], {"High","Very high"}))/COUNTIFS(AllDataApr[Site Name], B24, AllDataApr[Phosphate (PPM)], "&lt;&gt;0")</f>
        <v>1</v>
      </c>
      <c r="M24" s="35">
        <f t="shared" si="2"/>
        <v>16</v>
      </c>
      <c r="N24" s="35">
        <f t="shared" si="3"/>
        <v>36</v>
      </c>
      <c r="O24" s="31">
        <f>COUNTIFS(AllDataApr[Site Name], Tables!B24, AllDataApr[Season], "Summer")</f>
        <v>0</v>
      </c>
      <c r="P24" s="32" t="str">
        <f>IFERROR(AVERAGEIFS(AllDataApr[Nitrate (PPM)], AllDataApr[Site Name], B24, AllDataApr[Season], "Summer"), "")</f>
        <v/>
      </c>
      <c r="Q24" s="34" t="str">
        <f t="shared" si="12"/>
        <v/>
      </c>
      <c r="R24" s="33" t="str">
        <f>IFERROR(AVERAGEIFS(AllDataApr[Phosphate (PPM)], AllDataApr[Site Name], B24, AllDataApr[Season], "Summer"),"")</f>
        <v/>
      </c>
      <c r="S24" s="36" t="str">
        <f t="shared" si="13"/>
        <v/>
      </c>
      <c r="T24" s="35">
        <f>COUNTIFS(AllDataApr[Site Name], Tables!B24, AllDataApr[Season], "Autumn")</f>
        <v>0</v>
      </c>
      <c r="U24" s="32" t="str">
        <f>IFERROR(AVERAGEIFS(AllDataApr[Nitrate (PPM)], AllDataApr[Site Name], B24, AllDataApr[Season], "Autumn"), "")</f>
        <v/>
      </c>
      <c r="V24" s="34" t="str">
        <f t="shared" si="6"/>
        <v/>
      </c>
      <c r="W24" s="33" t="str">
        <f>IFERROR(AVERAGEIFS(AllDataApr[Phosphate (PPM)], AllDataApr[Site Name], B24, AllDataApr[Season], "Autumn"), "")</f>
        <v/>
      </c>
      <c r="X24" s="36" t="str">
        <f t="shared" si="7"/>
        <v/>
      </c>
      <c r="Y24" s="35">
        <f>COUNTIFS(AllDataApr[Site Name], Tables!B24, AllDataApr[Season], "Winter")</f>
        <v>8</v>
      </c>
      <c r="Z24" s="32">
        <f>IFERROR(AVERAGEIFS(AllDataApr[Nitrate (PPM)], AllDataApr[Site Name], B24, AllDataApr[Season], "Winter"), "")</f>
        <v>6.75</v>
      </c>
      <c r="AA24" s="34">
        <f t="shared" si="8"/>
        <v>-3.2258064516128983E-2</v>
      </c>
      <c r="AB24" s="33">
        <f>IFERROR(AVERAGEIFS(AllDataApr[Phosphate (PPM)], AllDataApr[Site Name], B24, AllDataApr[Season], "Winter"),"")</f>
        <v>0.33249999999999996</v>
      </c>
      <c r="AC24" s="34">
        <f t="shared" si="9"/>
        <v>-1.1152416356877254E-2</v>
      </c>
      <c r="AD24" s="65">
        <f>COUNTIFS(AllDataApr[Site Name], Tables!B24, AllDataApr[Season], "Spring")</f>
        <v>10</v>
      </c>
      <c r="AE24" s="32">
        <f>IFERROR(AVERAGEIFS(AllDataApr[Nitrate (PPM)], AllDataApr[Site Name], B24, AllDataApr[Season], "Spring"), "")</f>
        <v>7.2</v>
      </c>
      <c r="AF24" s="34">
        <f t="shared" si="10"/>
        <v>3.2258064516129108E-2</v>
      </c>
      <c r="AG24" s="33">
        <f>IFERROR(AVERAGEIFS(AllDataApr[Phosphate (PPM)], AllDataApr[Site Name], B24, AllDataApr[Season], "Spring"),"")</f>
        <v>0.33999999999999997</v>
      </c>
      <c r="AH24" s="74">
        <f t="shared" si="11"/>
        <v>1.1152416356877418E-2</v>
      </c>
    </row>
    <row r="25" spans="1:34" x14ac:dyDescent="0.3">
      <c r="A25" s="45"/>
      <c r="B25" s="14" t="s">
        <v>27</v>
      </c>
      <c r="C25" s="29">
        <f>AVERAGEIF(AllDataApr[Site Name], Tables!B25, AllDataApr[Latitude])</f>
        <v>52.211679999999973</v>
      </c>
      <c r="D25" s="29">
        <f>AVERAGEIF(AllDataApr[Site Name], Tables!B25, AllDataApr[Longitude])</f>
        <v>-1.6244400000000001</v>
      </c>
      <c r="E25" s="14"/>
      <c r="F25" s="14" t="s">
        <v>185</v>
      </c>
      <c r="G25" s="30" t="s">
        <v>191</v>
      </c>
      <c r="H25" s="31">
        <f>COUNTIF(AllDataApr[Site Name], Tables!B25)</f>
        <v>26</v>
      </c>
      <c r="I25" s="32">
        <f t="shared" si="0"/>
        <v>7.4567099567099575</v>
      </c>
      <c r="J25" s="33">
        <f t="shared" si="1"/>
        <v>0.58903138528138532</v>
      </c>
      <c r="K25" s="34" cm="1">
        <f t="array" ref="K25">SUM(COUNTIFS(AllDataApr[Site Name], B25, AllDataApr[Nitrate Pollution Category], {"High","Very high"}))/COUNTIFS(AllDataApr[Site Name], B25, AllDataApr[Nitrate (PPM)], "&lt;&gt;0")</f>
        <v>1</v>
      </c>
      <c r="L25" s="34" cm="1">
        <f t="array" ref="L25">SUM(COUNTIFS(AllDataApr[Site Name], B25, AllDataApr[Phosphate Pollution Category], {"High","Very high"}))/COUNTIFS(AllDataApr[Site Name], B25, AllDataApr[Phosphate (PPM)], "&lt;&gt;0")</f>
        <v>1</v>
      </c>
      <c r="M25" s="35">
        <f t="shared" si="2"/>
        <v>10</v>
      </c>
      <c r="N25" s="35">
        <f t="shared" si="3"/>
        <v>13</v>
      </c>
      <c r="O25" s="31">
        <f>COUNTIFS(AllDataApr[Site Name], Tables!B25, AllDataApr[Season], "Summer")</f>
        <v>7</v>
      </c>
      <c r="P25" s="32">
        <f>IFERROR(AVERAGEIFS(AllDataApr[Nitrate (PPM)], AllDataApr[Site Name], B25, AllDataApr[Season], "Summer"), "")</f>
        <v>6.1428571428571432</v>
      </c>
      <c r="Q25" s="34">
        <f t="shared" si="12"/>
        <v>-0.17619738751814226</v>
      </c>
      <c r="R25" s="33">
        <f>IFERROR(AVERAGEIFS(AllDataApr[Phosphate (PPM)], AllDataApr[Site Name], B25, AllDataApr[Season], "Summer"),"")</f>
        <v>0.59857142857142853</v>
      </c>
      <c r="S25" s="36">
        <f t="shared" si="13"/>
        <v>1.6196154446822642E-2</v>
      </c>
      <c r="T25" s="35">
        <f>COUNTIFS(AllDataApr[Site Name], Tables!B25, AllDataApr[Season], "Autumn")</f>
        <v>11</v>
      </c>
      <c r="U25" s="32">
        <f>IFERROR(AVERAGEIFS(AllDataApr[Nitrate (PPM)], AllDataApr[Site Name], B25, AllDataApr[Season], "Autumn"), "")</f>
        <v>4.7272727272727275</v>
      </c>
      <c r="V25" s="34">
        <f t="shared" si="6"/>
        <v>-0.36603773584905663</v>
      </c>
      <c r="W25" s="33">
        <f>IFERROR(AVERAGEIFS(AllDataApr[Phosphate (PPM)], AllDataApr[Site Name], B25, AllDataApr[Season], "Autumn"), "")</f>
        <v>0.62727272727272743</v>
      </c>
      <c r="X25" s="36">
        <f t="shared" si="7"/>
        <v>6.4922418307258603E-2</v>
      </c>
      <c r="Y25" s="35">
        <f>COUNTIFS(AllDataApr[Site Name], Tables!B25, AllDataApr[Season], "Winter")</f>
        <v>8</v>
      </c>
      <c r="Z25" s="32">
        <f>IFERROR(AVERAGEIFS(AllDataApr[Nitrate (PPM)], AllDataApr[Site Name], B25, AllDataApr[Season], "Winter"), "")</f>
        <v>11.5</v>
      </c>
      <c r="AA25" s="34">
        <f t="shared" si="8"/>
        <v>0.5422351233671987</v>
      </c>
      <c r="AB25" s="33">
        <f>IFERROR(AVERAGEIFS(AllDataApr[Phosphate (PPM)], AllDataApr[Site Name], B25, AllDataApr[Season], "Winter"),"")</f>
        <v>0.54125000000000001</v>
      </c>
      <c r="AC25" s="34">
        <f t="shared" si="9"/>
        <v>-8.1118572754081242E-2</v>
      </c>
      <c r="AD25" s="65">
        <f>COUNTIFS(AllDataApr[Site Name], Tables!B25, AllDataApr[Season], "Spring")</f>
        <v>0</v>
      </c>
      <c r="AE25" s="32" t="str">
        <f>IFERROR(AVERAGEIFS(AllDataApr[Nitrate (PPM)], AllDataApr[Site Name], B25, AllDataApr[Season], "Spring"), "")</f>
        <v/>
      </c>
      <c r="AF25" s="34" t="str">
        <f t="shared" si="10"/>
        <v/>
      </c>
      <c r="AG25" s="33" t="str">
        <f>IFERROR(AVERAGEIFS(AllDataApr[Phosphate (PPM)], AllDataApr[Site Name], B25, AllDataApr[Season], "Spring"),"")</f>
        <v/>
      </c>
      <c r="AH25" s="74" t="str">
        <f t="shared" si="11"/>
        <v/>
      </c>
    </row>
    <row r="26" spans="1:34" x14ac:dyDescent="0.3">
      <c r="A26" s="45"/>
      <c r="B26" s="14" t="s">
        <v>25</v>
      </c>
      <c r="C26" s="29">
        <f>AVERAGEIF(AllDataApr[Site Name], Tables!B26, AllDataApr[Latitude])</f>
        <v>52.23814999999999</v>
      </c>
      <c r="D26" s="29">
        <f>AVERAGEIF(AllDataApr[Site Name], Tables!B26, AllDataApr[Longitude])</f>
        <v>-1.6245800000000008</v>
      </c>
      <c r="E26" s="14" t="s">
        <v>18</v>
      </c>
      <c r="F26" s="14" t="s">
        <v>185</v>
      </c>
      <c r="G26" s="30" t="s">
        <v>191</v>
      </c>
      <c r="H26" s="31">
        <f>COUNTIF(AllDataApr[Site Name], Tables!B26)</f>
        <v>24</v>
      </c>
      <c r="I26" s="32">
        <f t="shared" si="0"/>
        <v>7.8088023088023091</v>
      </c>
      <c r="J26" s="33">
        <f t="shared" si="1"/>
        <v>0.57578643578643585</v>
      </c>
      <c r="K26" s="34" cm="1">
        <f t="array" ref="K26">SUM(COUNTIFS(AllDataApr[Site Name], B26, AllDataApr[Nitrate Pollution Category], {"High","Very high"}))/COUNTIFS(AllDataApr[Site Name], B26, AllDataApr[Nitrate (PPM)], "&lt;&gt;0")</f>
        <v>1</v>
      </c>
      <c r="L26" s="34" cm="1">
        <f t="array" ref="L26">SUM(COUNTIFS(AllDataApr[Site Name], B26, AllDataApr[Phosphate Pollution Category], {"High","Very high"}))/COUNTIFS(AllDataApr[Site Name], B26, AllDataApr[Phosphate (PPM)], "&lt;&gt;0")</f>
        <v>1</v>
      </c>
      <c r="M26" s="35">
        <f t="shared" si="2"/>
        <v>6</v>
      </c>
      <c r="N26" s="35">
        <f t="shared" si="3"/>
        <v>18</v>
      </c>
      <c r="O26" s="31">
        <f>COUNTIFS(AllDataApr[Site Name], Tables!B26, AllDataApr[Season], "Summer")</f>
        <v>7</v>
      </c>
      <c r="P26" s="32">
        <f>IFERROR(AVERAGEIFS(AllDataApr[Nitrate (PPM)], AllDataApr[Site Name], B26, AllDataApr[Season], "Summer"), "")</f>
        <v>6.7142857142857144</v>
      </c>
      <c r="Q26" s="34">
        <f t="shared" si="12"/>
        <v>-0.14016446456620163</v>
      </c>
      <c r="R26" s="33">
        <f>IFERROR(AVERAGEIFS(AllDataApr[Phosphate (PPM)], AllDataApr[Site Name], B26, AllDataApr[Season], "Summer"),"")</f>
        <v>0.58857142857142863</v>
      </c>
      <c r="S26" s="36">
        <f t="shared" si="13"/>
        <v>2.2204400781915698E-2</v>
      </c>
      <c r="T26" s="35">
        <f>COUNTIFS(AllDataApr[Site Name], Tables!B26, AllDataApr[Season], "Autumn")</f>
        <v>11</v>
      </c>
      <c r="U26" s="32">
        <f>IFERROR(AVERAGEIFS(AllDataApr[Nitrate (PPM)], AllDataApr[Site Name], B26, AllDataApr[Season], "Autumn"), "")</f>
        <v>5.5454545454545459</v>
      </c>
      <c r="V26" s="34">
        <f t="shared" si="6"/>
        <v>-0.28984569897440632</v>
      </c>
      <c r="W26" s="33">
        <f>IFERROR(AVERAGEIFS(AllDataApr[Phosphate (PPM)], AllDataApr[Site Name], B26, AllDataApr[Season], "Autumn"), "")</f>
        <v>0.61545454545454559</v>
      </c>
      <c r="X26" s="36">
        <f t="shared" si="7"/>
        <v>6.8893789784973306E-2</v>
      </c>
      <c r="Y26" s="35">
        <f>COUNTIFS(AllDataApr[Site Name], Tables!B26, AllDataApr[Season], "Winter")</f>
        <v>6</v>
      </c>
      <c r="Z26" s="32">
        <f>IFERROR(AVERAGEIFS(AllDataApr[Nitrate (PPM)], AllDataApr[Site Name], B26, AllDataApr[Season], "Winter"), "")</f>
        <v>11.166666666666666</v>
      </c>
      <c r="AA26" s="34">
        <f t="shared" si="8"/>
        <v>0.43001016354060784</v>
      </c>
      <c r="AB26" s="33">
        <f>IFERROR(AVERAGEIFS(AllDataApr[Phosphate (PPM)], AllDataApr[Site Name], B26, AllDataApr[Season], "Winter"),"")</f>
        <v>0.52333333333333332</v>
      </c>
      <c r="AC26" s="34">
        <f t="shared" si="9"/>
        <v>-9.1098190566889004E-2</v>
      </c>
      <c r="AD26" s="65">
        <f>COUNTIFS(AllDataApr[Site Name], Tables!B26, AllDataApr[Season], "Spring")</f>
        <v>0</v>
      </c>
      <c r="AE26" s="32" t="str">
        <f>IFERROR(AVERAGEIFS(AllDataApr[Nitrate (PPM)], AllDataApr[Site Name], B26, AllDataApr[Season], "Spring"), "")</f>
        <v/>
      </c>
      <c r="AF26" s="34" t="str">
        <f t="shared" si="10"/>
        <v/>
      </c>
      <c r="AG26" s="33" t="str">
        <f>IFERROR(AVERAGEIFS(AllDataApr[Phosphate (PPM)], AllDataApr[Site Name], B26, AllDataApr[Season], "Spring"),"")</f>
        <v/>
      </c>
      <c r="AH26" s="74" t="str">
        <f t="shared" si="11"/>
        <v/>
      </c>
    </row>
    <row r="27" spans="1:34" x14ac:dyDescent="0.3">
      <c r="A27" s="45"/>
      <c r="B27" s="14" t="s">
        <v>1028</v>
      </c>
      <c r="C27" s="29">
        <f>AVERAGEIF(AllDataApr[Site Name], Tables!B27, AllDataApr[Latitude])</f>
        <v>52.090074000000001</v>
      </c>
      <c r="D27" s="29">
        <f>AVERAGEIF(AllDataApr[Site Name], Tables!B27, AllDataApr[Longitude])</f>
        <v>-1.692588</v>
      </c>
      <c r="E27" s="14"/>
      <c r="F27" s="14" t="s">
        <v>188</v>
      </c>
      <c r="G27" s="30" t="s">
        <v>1074</v>
      </c>
      <c r="H27" s="31">
        <f>COUNTIF(AllDataApr[Site Name], Tables!B27)</f>
        <v>1</v>
      </c>
      <c r="I27" s="32">
        <f t="shared" si="0"/>
        <v>1</v>
      </c>
      <c r="J27" s="33">
        <f t="shared" si="1"/>
        <v>0.18</v>
      </c>
      <c r="K27" s="34" cm="1">
        <f t="array" ref="K27">SUM(COUNTIFS(AllDataApr[Site Name], B27, AllDataApr[Nitrate Pollution Category], {"High","Very high"}))/COUNTIFS(AllDataApr[Site Name], B27, AllDataApr[Nitrate (PPM)], "&lt;&gt;0")</f>
        <v>0</v>
      </c>
      <c r="L27" s="34" cm="1">
        <f t="array" ref="L27">SUM(COUNTIFS(AllDataApr[Site Name], B27, AllDataApr[Phosphate Pollution Category], {"High","Very high"}))/COUNTIFS(AllDataApr[Site Name], B27, AllDataApr[Phosphate (PPM)], "&lt;&gt;0")</f>
        <v>1</v>
      </c>
      <c r="M27" s="35">
        <f t="shared" si="2"/>
        <v>43</v>
      </c>
      <c r="N27" s="35">
        <f t="shared" si="3"/>
        <v>44</v>
      </c>
      <c r="O27" s="31">
        <f>COUNTIFS(AllDataApr[Site Name], Tables!B27, AllDataApr[Season], "Summer")</f>
        <v>0</v>
      </c>
      <c r="P27" s="32" t="str">
        <f>IFERROR(AVERAGEIFS(AllDataApr[Nitrate (PPM)], AllDataApr[Site Name], B27, AllDataApr[Season], "Summer"), "")</f>
        <v/>
      </c>
      <c r="Q27" s="34" t="str">
        <f t="shared" si="12"/>
        <v/>
      </c>
      <c r="R27" s="33" t="str">
        <f>IFERROR(AVERAGEIFS(AllDataApr[Phosphate (PPM)], AllDataApr[Site Name], B27, AllDataApr[Season], "Summer"),"")</f>
        <v/>
      </c>
      <c r="S27" s="36" t="str">
        <f t="shared" si="13"/>
        <v/>
      </c>
      <c r="T27" s="35">
        <f>COUNTIFS(AllDataApr[Site Name], Tables!B27, AllDataApr[Season], "Autumn")</f>
        <v>1</v>
      </c>
      <c r="U27" s="32">
        <f>IFERROR(AVERAGEIFS(AllDataApr[Nitrate (PPM)], AllDataApr[Site Name], B27, AllDataApr[Season], "Autumn"), "")</f>
        <v>1</v>
      </c>
      <c r="V27" s="34">
        <f t="shared" si="6"/>
        <v>0</v>
      </c>
      <c r="W27" s="33">
        <f>IFERROR(AVERAGEIFS(AllDataApr[Phosphate (PPM)], AllDataApr[Site Name], B27, AllDataApr[Season], "Autumn"), "")</f>
        <v>0.18</v>
      </c>
      <c r="X27" s="36">
        <f t="shared" si="7"/>
        <v>0</v>
      </c>
      <c r="Y27" s="35">
        <f>COUNTIFS(AllDataApr[Site Name], Tables!B27, AllDataApr[Season], "Winter")</f>
        <v>0</v>
      </c>
      <c r="Z27" s="32" t="str">
        <f>IFERROR(AVERAGEIFS(AllDataApr[Nitrate (PPM)], AllDataApr[Site Name], B27, AllDataApr[Season], "Winter"), "")</f>
        <v/>
      </c>
      <c r="AA27" s="34" t="str">
        <f t="shared" si="8"/>
        <v/>
      </c>
      <c r="AB27" s="33" t="str">
        <f>IFERROR(AVERAGEIFS(AllDataApr[Phosphate (PPM)], AllDataApr[Site Name], B27, AllDataApr[Season], "Winter"),"")</f>
        <v/>
      </c>
      <c r="AC27" s="34" t="str">
        <f t="shared" si="9"/>
        <v/>
      </c>
      <c r="AD27" s="65">
        <f>COUNTIFS(AllDataApr[Site Name], Tables!B27, AllDataApr[Season], "Spring")</f>
        <v>0</v>
      </c>
      <c r="AE27" s="32" t="str">
        <f>IFERROR(AVERAGEIFS(AllDataApr[Nitrate (PPM)], AllDataApr[Site Name], B27, AllDataApr[Season], "Spring"), "")</f>
        <v/>
      </c>
      <c r="AF27" s="34" t="str">
        <f t="shared" si="10"/>
        <v/>
      </c>
      <c r="AG27" s="33" t="str">
        <f>IFERROR(AVERAGEIFS(AllDataApr[Phosphate (PPM)], AllDataApr[Site Name], B27, AllDataApr[Season], "Spring"),"")</f>
        <v/>
      </c>
      <c r="AH27" s="74" t="str">
        <f t="shared" si="11"/>
        <v/>
      </c>
    </row>
    <row r="28" spans="1:34" x14ac:dyDescent="0.3">
      <c r="A28" s="45"/>
      <c r="B28" s="14" t="s">
        <v>234</v>
      </c>
      <c r="C28" s="29">
        <f>AVERAGEIF(AllDataApr[Site Name], Tables!B28, AllDataApr[Latitude])</f>
        <v>51.985035090909101</v>
      </c>
      <c r="D28" s="29">
        <f>AVERAGEIF(AllDataApr[Site Name], Tables!B28, AllDataApr[Longitude])</f>
        <v>-2.1742384545454545</v>
      </c>
      <c r="E28" s="14" t="s">
        <v>18</v>
      </c>
      <c r="F28" s="14" t="s">
        <v>187</v>
      </c>
      <c r="G28" s="30" t="s">
        <v>191</v>
      </c>
      <c r="H28" s="31">
        <f>COUNTIF(AllDataApr[Site Name], Tables!B28)</f>
        <v>12</v>
      </c>
      <c r="I28" s="32">
        <f t="shared" si="0"/>
        <v>10.5</v>
      </c>
      <c r="J28" s="33">
        <f t="shared" si="1"/>
        <v>0.43299999999999994</v>
      </c>
      <c r="K28" s="34" cm="1">
        <f t="array" ref="K28">SUM(COUNTIFS(AllDataApr[Site Name], B28, AllDataApr[Nitrate Pollution Category], {"High","Very high"}))/COUNTIFS(AllDataApr[Site Name], B28, AllDataApr[Nitrate (PPM)], "&lt;&gt;0")</f>
        <v>1</v>
      </c>
      <c r="L28" s="34" cm="1">
        <f t="array" ref="L28">SUM(COUNTIFS(AllDataApr[Site Name], B28, AllDataApr[Phosphate Pollution Category], {"High","Very high"}))/COUNTIFS(AllDataApr[Site Name], B28, AllDataApr[Phosphate (PPM)], "&lt;&gt;0")</f>
        <v>0.91666666666666663</v>
      </c>
      <c r="M28" s="35">
        <f t="shared" si="2"/>
        <v>2</v>
      </c>
      <c r="N28" s="35">
        <f t="shared" si="3"/>
        <v>30</v>
      </c>
      <c r="O28" s="31">
        <f>COUNTIFS(AllDataApr[Site Name], Tables!B28, AllDataApr[Season], "Summer")</f>
        <v>0</v>
      </c>
      <c r="P28" s="32" t="str">
        <f>IFERROR(AVERAGEIFS(AllDataApr[Nitrate (PPM)], AllDataApr[Site Name], B28, AllDataApr[Season], "Summer"), "")</f>
        <v/>
      </c>
      <c r="Q28" s="34" t="str">
        <f t="shared" si="12"/>
        <v/>
      </c>
      <c r="R28" s="33" t="str">
        <f>IFERROR(AVERAGEIFS(AllDataApr[Phosphate (PPM)], AllDataApr[Site Name], B28, AllDataApr[Season], "Summer"),"")</f>
        <v/>
      </c>
      <c r="S28" s="36" t="str">
        <f t="shared" si="13"/>
        <v/>
      </c>
      <c r="T28" s="35">
        <f>COUNTIFS(AllDataApr[Site Name], Tables!B28, AllDataApr[Season], "Autumn")</f>
        <v>0</v>
      </c>
      <c r="U28" s="32" t="str">
        <f>IFERROR(AVERAGEIFS(AllDataApr[Nitrate (PPM)], AllDataApr[Site Name], B28, AllDataApr[Season], "Autumn"), "")</f>
        <v/>
      </c>
      <c r="V28" s="34" t="str">
        <f t="shared" si="6"/>
        <v/>
      </c>
      <c r="W28" s="33" t="str">
        <f>IFERROR(AVERAGEIFS(AllDataApr[Phosphate (PPM)], AllDataApr[Site Name], B28, AllDataApr[Season], "Autumn"), "")</f>
        <v/>
      </c>
      <c r="X28" s="36" t="str">
        <f t="shared" si="7"/>
        <v/>
      </c>
      <c r="Y28" s="35">
        <f>COUNTIFS(AllDataApr[Site Name], Tables!B28, AllDataApr[Season], "Winter")</f>
        <v>2</v>
      </c>
      <c r="Z28" s="32">
        <f>IFERROR(AVERAGEIFS(AllDataApr[Nitrate (PPM)], AllDataApr[Site Name], B28, AllDataApr[Season], "Winter"), "")</f>
        <v>10</v>
      </c>
      <c r="AA28" s="34">
        <f t="shared" si="8"/>
        <v>-4.7619047619047616E-2</v>
      </c>
      <c r="AB28" s="33">
        <f>IFERROR(AVERAGEIFS(AllDataApr[Phosphate (PPM)], AllDataApr[Site Name], B28, AllDataApr[Season], "Winter"),"")</f>
        <v>0.39500000000000002</v>
      </c>
      <c r="AC28" s="34">
        <f t="shared" si="9"/>
        <v>-8.7759815242494058E-2</v>
      </c>
      <c r="AD28" s="65">
        <f>COUNTIFS(AllDataApr[Site Name], Tables!B28, AllDataApr[Season], "Spring")</f>
        <v>10</v>
      </c>
      <c r="AE28" s="32">
        <f>IFERROR(AVERAGEIFS(AllDataApr[Nitrate (PPM)], AllDataApr[Site Name], B28, AllDataApr[Season], "Spring"), "")</f>
        <v>11</v>
      </c>
      <c r="AF28" s="34">
        <f t="shared" si="10"/>
        <v>4.7619047619047616E-2</v>
      </c>
      <c r="AG28" s="33">
        <f>IFERROR(AVERAGEIFS(AllDataApr[Phosphate (PPM)], AllDataApr[Site Name], B28, AllDataApr[Season], "Spring"),"")</f>
        <v>0.47099999999999992</v>
      </c>
      <c r="AH28" s="74">
        <f t="shared" si="11"/>
        <v>8.7759815242494182E-2</v>
      </c>
    </row>
    <row r="29" spans="1:34" x14ac:dyDescent="0.3">
      <c r="A29" s="45"/>
      <c r="B29" s="14" t="s">
        <v>920</v>
      </c>
      <c r="C29" s="29">
        <f>AVERAGEIF(AllDataApr[Site Name], Tables!B29, AllDataApr[Latitude])</f>
        <v>52.152265749999998</v>
      </c>
      <c r="D29" s="29">
        <f>AVERAGEIF(AllDataApr[Site Name], Tables!B29, AllDataApr[Longitude])</f>
        <v>-2.09483175</v>
      </c>
      <c r="E29" s="14" t="s">
        <v>18</v>
      </c>
      <c r="F29" s="14" t="s">
        <v>1035</v>
      </c>
      <c r="G29" s="30" t="s">
        <v>1040</v>
      </c>
      <c r="H29" s="31">
        <f>COUNTIF(AllDataApr[Site Name], Tables!B29)</f>
        <v>8</v>
      </c>
      <c r="I29" s="32">
        <f t="shared" si="0"/>
        <v>4.8571428571428568</v>
      </c>
      <c r="J29" s="33">
        <f t="shared" si="1"/>
        <v>0.56714285714285717</v>
      </c>
      <c r="K29" s="34" cm="1">
        <f t="array" ref="K29">SUM(COUNTIFS(AllDataApr[Site Name], B29, AllDataApr[Nitrate Pollution Category], {"High","Very high"}))/COUNTIFS(AllDataApr[Site Name], B29, AllDataApr[Nitrate (PPM)], "&lt;&gt;0")</f>
        <v>0.875</v>
      </c>
      <c r="L29" s="34" cm="1">
        <f t="array" ref="L29">SUM(COUNTIFS(AllDataApr[Site Name], B29, AllDataApr[Phosphate Pollution Category], {"High","Very high"}))/COUNTIFS(AllDataApr[Site Name], B29, AllDataApr[Phosphate (PPM)], "&lt;&gt;0")</f>
        <v>1</v>
      </c>
      <c r="M29" s="35">
        <f t="shared" si="2"/>
        <v>32</v>
      </c>
      <c r="N29" s="35">
        <f t="shared" si="3"/>
        <v>21</v>
      </c>
      <c r="O29" s="31">
        <f>COUNTIFS(AllDataApr[Site Name], Tables!B29, AllDataApr[Season], "Summer")</f>
        <v>0</v>
      </c>
      <c r="P29" s="32" t="str">
        <f>IFERROR(AVERAGEIFS(AllDataApr[Nitrate (PPM)], AllDataApr[Site Name], B29, AllDataApr[Season], "Summer"), "")</f>
        <v/>
      </c>
      <c r="Q29" s="34" t="str">
        <f t="shared" si="12"/>
        <v/>
      </c>
      <c r="R29" s="33" t="str">
        <f>IFERROR(AVERAGEIFS(AllDataApr[Phosphate (PPM)], AllDataApr[Site Name], B29, AllDataApr[Season], "Summer"),"")</f>
        <v/>
      </c>
      <c r="S29" s="36" t="str">
        <f t="shared" si="13"/>
        <v/>
      </c>
      <c r="T29" s="35">
        <f>COUNTIFS(AllDataApr[Site Name], Tables!B29, AllDataApr[Season], "Autumn")</f>
        <v>0</v>
      </c>
      <c r="U29" s="32" t="str">
        <f>IFERROR(AVERAGEIFS(AllDataApr[Nitrate (PPM)], AllDataApr[Site Name], B29, AllDataApr[Season], "Autumn"), "")</f>
        <v/>
      </c>
      <c r="V29" s="34" t="str">
        <f t="shared" si="6"/>
        <v/>
      </c>
      <c r="W29" s="33" t="str">
        <f>IFERROR(AVERAGEIFS(AllDataApr[Phosphate (PPM)], AllDataApr[Site Name], B29, AllDataApr[Season], "Autumn"), "")</f>
        <v/>
      </c>
      <c r="X29" s="36" t="str">
        <f t="shared" si="7"/>
        <v/>
      </c>
      <c r="Y29" s="35">
        <f>COUNTIFS(AllDataApr[Site Name], Tables!B29, AllDataApr[Season], "Winter")</f>
        <v>1</v>
      </c>
      <c r="Z29" s="32" t="str">
        <f>IFERROR(AVERAGEIFS(AllDataApr[Nitrate (PPM)], AllDataApr[Site Name], B29, AllDataApr[Season], "Winter"), "")</f>
        <v/>
      </c>
      <c r="AA29" s="34" t="str">
        <f t="shared" si="8"/>
        <v/>
      </c>
      <c r="AB29" s="33">
        <f>IFERROR(AVERAGEIFS(AllDataApr[Phosphate (PPM)], AllDataApr[Site Name], B29, AllDataApr[Season], "Winter"),"")</f>
        <v>0.21</v>
      </c>
      <c r="AC29" s="34">
        <f t="shared" si="9"/>
        <v>-0.62972292191435775</v>
      </c>
      <c r="AD29" s="65">
        <f>COUNTIFS(AllDataApr[Site Name], Tables!B29, AllDataApr[Season], "Spring")</f>
        <v>7</v>
      </c>
      <c r="AE29" s="32">
        <f>IFERROR(AVERAGEIFS(AllDataApr[Nitrate (PPM)], AllDataApr[Site Name], B29, AllDataApr[Season], "Spring"), "")</f>
        <v>4.8571428571428568</v>
      </c>
      <c r="AF29" s="34">
        <f t="shared" si="10"/>
        <v>0</v>
      </c>
      <c r="AG29" s="33">
        <f>IFERROR(AVERAGEIFS(AllDataApr[Phosphate (PPM)], AllDataApr[Site Name], B29, AllDataApr[Season], "Spring"),"")</f>
        <v>0.92428571428571427</v>
      </c>
      <c r="AH29" s="74">
        <f t="shared" si="11"/>
        <v>0.62972292191435753</v>
      </c>
    </row>
    <row r="30" spans="1:34" x14ac:dyDescent="0.3">
      <c r="A30" s="45"/>
      <c r="B30" s="14" t="s">
        <v>272</v>
      </c>
      <c r="C30" s="29">
        <f>AVERAGEIF(AllDataApr[Site Name], Tables!B30, AllDataApr[Latitude])</f>
        <v>52.104196285714281</v>
      </c>
      <c r="D30" s="29">
        <f>AVERAGEIF(AllDataApr[Site Name], Tables!B30, AllDataApr[Longitude])</f>
        <v>-2.0709292857142856</v>
      </c>
      <c r="E30" s="14"/>
      <c r="F30" s="14" t="s">
        <v>1035</v>
      </c>
      <c r="G30" s="30" t="s">
        <v>191</v>
      </c>
      <c r="H30" s="31">
        <f>COUNTIF(AllDataApr[Site Name], Tables!B30)</f>
        <v>7</v>
      </c>
      <c r="I30" s="32">
        <f t="shared" si="0"/>
        <v>7.25</v>
      </c>
      <c r="J30" s="33">
        <f t="shared" si="1"/>
        <v>0.57150000000000001</v>
      </c>
      <c r="K30" s="34" cm="1">
        <f t="array" ref="K30">SUM(COUNTIFS(AllDataApr[Site Name], B30, AllDataApr[Nitrate Pollution Category], {"High","Very high"}))/COUNTIFS(AllDataApr[Site Name], B30, AllDataApr[Nitrate (PPM)], "&lt;&gt;0")</f>
        <v>1</v>
      </c>
      <c r="L30" s="34" cm="1">
        <f t="array" ref="L30">SUM(COUNTIFS(AllDataApr[Site Name], B30, AllDataApr[Phosphate Pollution Category], {"High","Very high"}))/COUNTIFS(AllDataApr[Site Name], B30, AllDataApr[Phosphate (PPM)], "&lt;&gt;0")</f>
        <v>1</v>
      </c>
      <c r="M30" s="35">
        <f t="shared" si="2"/>
        <v>12</v>
      </c>
      <c r="N30" s="35">
        <f t="shared" si="3"/>
        <v>20</v>
      </c>
      <c r="O30" s="31">
        <f>COUNTIFS(AllDataApr[Site Name], Tables!B30, AllDataApr[Season], "Summer")</f>
        <v>0</v>
      </c>
      <c r="P30" s="32" t="str">
        <f>IFERROR(AVERAGEIFS(AllDataApr[Nitrate (PPM)], AllDataApr[Site Name], B30, AllDataApr[Season], "Summer"), "")</f>
        <v/>
      </c>
      <c r="Q30" s="34" t="str">
        <f t="shared" si="12"/>
        <v/>
      </c>
      <c r="R30" s="33" t="str">
        <f>IFERROR(AVERAGEIFS(AllDataApr[Phosphate (PPM)], AllDataApr[Site Name], B30, AllDataApr[Season], "Summer"),"")</f>
        <v/>
      </c>
      <c r="S30" s="36" t="str">
        <f t="shared" si="13"/>
        <v/>
      </c>
      <c r="T30" s="35">
        <f>COUNTIFS(AllDataApr[Site Name], Tables!B30, AllDataApr[Season], "Autumn")</f>
        <v>0</v>
      </c>
      <c r="U30" s="32" t="str">
        <f>IFERROR(AVERAGEIFS(AllDataApr[Nitrate (PPM)], AllDataApr[Site Name], B30, AllDataApr[Season], "Autumn"), "")</f>
        <v/>
      </c>
      <c r="V30" s="34" t="str">
        <f t="shared" si="6"/>
        <v/>
      </c>
      <c r="W30" s="33" t="str">
        <f>IFERROR(AVERAGEIFS(AllDataApr[Phosphate (PPM)], AllDataApr[Site Name], B30, AllDataApr[Season], "Autumn"), "")</f>
        <v/>
      </c>
      <c r="X30" s="36" t="str">
        <f t="shared" si="7"/>
        <v/>
      </c>
      <c r="Y30" s="35">
        <f>COUNTIFS(AllDataApr[Site Name], Tables!B30, AllDataApr[Season], "Winter")</f>
        <v>2</v>
      </c>
      <c r="Z30" s="32">
        <f>IFERROR(AVERAGEIFS(AllDataApr[Nitrate (PPM)], AllDataApr[Site Name], B30, AllDataApr[Season], "Winter"), "")</f>
        <v>7.5</v>
      </c>
      <c r="AA30" s="34">
        <f t="shared" si="8"/>
        <v>3.4482758620689655E-2</v>
      </c>
      <c r="AB30" s="33">
        <f>IFERROR(AVERAGEIFS(AllDataApr[Phosphate (PPM)], AllDataApr[Site Name], B30, AllDataApr[Season], "Winter"),"")</f>
        <v>0.60499999999999998</v>
      </c>
      <c r="AC30" s="34">
        <f t="shared" si="9"/>
        <v>5.861767279090109E-2</v>
      </c>
      <c r="AD30" s="65">
        <f>COUNTIFS(AllDataApr[Site Name], Tables!B30, AllDataApr[Season], "Spring")</f>
        <v>5</v>
      </c>
      <c r="AE30" s="32">
        <f>IFERROR(AVERAGEIFS(AllDataApr[Nitrate (PPM)], AllDataApr[Site Name], B30, AllDataApr[Season], "Spring"), "")</f>
        <v>7</v>
      </c>
      <c r="AF30" s="34">
        <f t="shared" si="10"/>
        <v>-3.4482758620689655E-2</v>
      </c>
      <c r="AG30" s="33">
        <f>IFERROR(AVERAGEIFS(AllDataApr[Phosphate (PPM)], AllDataApr[Site Name], B30, AllDataApr[Season], "Spring"),"")</f>
        <v>0.53800000000000003</v>
      </c>
      <c r="AH30" s="74">
        <f t="shared" si="11"/>
        <v>-5.861767279090109E-2</v>
      </c>
    </row>
    <row r="31" spans="1:34" x14ac:dyDescent="0.3">
      <c r="A31" s="45"/>
      <c r="B31" s="14" t="s">
        <v>271</v>
      </c>
      <c r="C31" s="29">
        <f>AVERAGEIF(AllDataApr[Site Name], Tables!B31, AllDataApr[Latitude])</f>
        <v>52.108220000000003</v>
      </c>
      <c r="D31" s="29">
        <f>AVERAGEIF(AllDataApr[Site Name], Tables!B31, AllDataApr[Longitude])</f>
        <v>-2.0715195</v>
      </c>
      <c r="E31" s="14"/>
      <c r="F31" s="14" t="s">
        <v>1035</v>
      </c>
      <c r="G31" s="30" t="s">
        <v>191</v>
      </c>
      <c r="H31" s="31">
        <f>COUNTIF(AllDataApr[Site Name], Tables!B31)</f>
        <v>2</v>
      </c>
      <c r="I31" s="32">
        <f t="shared" si="0"/>
        <v>7.5</v>
      </c>
      <c r="J31" s="33">
        <f t="shared" si="1"/>
        <v>0.58000000000000007</v>
      </c>
      <c r="K31" s="34" cm="1">
        <f t="array" ref="K31">SUM(COUNTIFS(AllDataApr[Site Name], B31, AllDataApr[Nitrate Pollution Category], {"High","Very high"}))/COUNTIFS(AllDataApr[Site Name], B31, AllDataApr[Nitrate (PPM)], "&lt;&gt;0")</f>
        <v>1</v>
      </c>
      <c r="L31" s="34" cm="1">
        <f t="array" ref="L31">SUM(COUNTIFS(AllDataApr[Site Name], B31, AllDataApr[Phosphate Pollution Category], {"High","Very high"}))/COUNTIFS(AllDataApr[Site Name], B31, AllDataApr[Phosphate (PPM)], "&lt;&gt;0")</f>
        <v>1</v>
      </c>
      <c r="M31" s="35">
        <f t="shared" si="2"/>
        <v>9</v>
      </c>
      <c r="N31" s="35">
        <f t="shared" si="3"/>
        <v>16</v>
      </c>
      <c r="O31" s="31">
        <f>COUNTIFS(AllDataApr[Site Name], Tables!B31, AllDataApr[Season], "Summer")</f>
        <v>0</v>
      </c>
      <c r="P31" s="32" t="str">
        <f>IFERROR(AVERAGEIFS(AllDataApr[Nitrate (PPM)], AllDataApr[Site Name], B31, AllDataApr[Season], "Summer"), "")</f>
        <v/>
      </c>
      <c r="Q31" s="34" t="str">
        <f t="shared" si="12"/>
        <v/>
      </c>
      <c r="R31" s="33" t="str">
        <f>IFERROR(AVERAGEIFS(AllDataApr[Phosphate (PPM)], AllDataApr[Site Name], B31, AllDataApr[Season], "Summer"),"")</f>
        <v/>
      </c>
      <c r="S31" s="36" t="str">
        <f t="shared" si="13"/>
        <v/>
      </c>
      <c r="T31" s="35">
        <f>COUNTIFS(AllDataApr[Site Name], Tables!B31, AllDataApr[Season], "Autumn")</f>
        <v>0</v>
      </c>
      <c r="U31" s="32" t="str">
        <f>IFERROR(AVERAGEIFS(AllDataApr[Nitrate (PPM)], AllDataApr[Site Name], B31, AllDataApr[Season], "Autumn"), "")</f>
        <v/>
      </c>
      <c r="V31" s="34" t="str">
        <f t="shared" si="6"/>
        <v/>
      </c>
      <c r="W31" s="33" t="str">
        <f>IFERROR(AVERAGEIFS(AllDataApr[Phosphate (PPM)], AllDataApr[Site Name], B31, AllDataApr[Season], "Autumn"), "")</f>
        <v/>
      </c>
      <c r="X31" s="36" t="str">
        <f t="shared" si="7"/>
        <v/>
      </c>
      <c r="Y31" s="35">
        <f>COUNTIFS(AllDataApr[Site Name], Tables!B31, AllDataApr[Season], "Winter")</f>
        <v>2</v>
      </c>
      <c r="Z31" s="32">
        <f>IFERROR(AVERAGEIFS(AllDataApr[Nitrate (PPM)], AllDataApr[Site Name], B31, AllDataApr[Season], "Winter"), "")</f>
        <v>7.5</v>
      </c>
      <c r="AA31" s="34">
        <f t="shared" si="8"/>
        <v>0</v>
      </c>
      <c r="AB31" s="33">
        <f>IFERROR(AVERAGEIFS(AllDataApr[Phosphate (PPM)], AllDataApr[Site Name], B31, AllDataApr[Season], "Winter"),"")</f>
        <v>0.58000000000000007</v>
      </c>
      <c r="AC31" s="34">
        <f t="shared" si="9"/>
        <v>0</v>
      </c>
      <c r="AD31" s="65">
        <f>COUNTIFS(AllDataApr[Site Name], Tables!B31, AllDataApr[Season], "Spring")</f>
        <v>0</v>
      </c>
      <c r="AE31" s="32" t="str">
        <f>IFERROR(AVERAGEIFS(AllDataApr[Nitrate (PPM)], AllDataApr[Site Name], B31, AllDataApr[Season], "Spring"), "")</f>
        <v/>
      </c>
      <c r="AF31" s="34" t="str">
        <f t="shared" si="10"/>
        <v/>
      </c>
      <c r="AG31" s="33" t="str">
        <f>IFERROR(AVERAGEIFS(AllDataApr[Phosphate (PPM)], AllDataApr[Site Name], B31, AllDataApr[Season], "Spring"),"")</f>
        <v/>
      </c>
      <c r="AH31" s="74" t="str">
        <f t="shared" si="11"/>
        <v/>
      </c>
    </row>
    <row r="32" spans="1:34" x14ac:dyDescent="0.3">
      <c r="A32" s="45"/>
      <c r="B32" s="14" t="s">
        <v>908</v>
      </c>
      <c r="C32" s="29">
        <f>AVERAGEIF(AllDataApr[Site Name], Tables!B32, AllDataApr[Latitude])</f>
        <v>52.126399916666657</v>
      </c>
      <c r="D32" s="29">
        <f>AVERAGEIF(AllDataApr[Site Name], Tables!B32, AllDataApr[Longitude])</f>
        <v>-2.0564988333333329</v>
      </c>
      <c r="E32" s="14"/>
      <c r="F32" s="14" t="s">
        <v>1035</v>
      </c>
      <c r="G32" s="30" t="s">
        <v>1041</v>
      </c>
      <c r="H32" s="31">
        <f>COUNTIF(AllDataApr[Site Name], Tables!B32)</f>
        <v>13</v>
      </c>
      <c r="I32" s="32">
        <f t="shared" si="0"/>
        <v>5.6923076923076925</v>
      </c>
      <c r="J32" s="33">
        <f t="shared" si="1"/>
        <v>0.64461538461538459</v>
      </c>
      <c r="K32" s="34" cm="1">
        <f t="array" ref="K32">SUM(COUNTIFS(AllDataApr[Site Name], B32, AllDataApr[Nitrate Pollution Category], {"High","Very high"}))/COUNTIFS(AllDataApr[Site Name], B32, AllDataApr[Nitrate (PPM)], "&lt;&gt;0")</f>
        <v>1</v>
      </c>
      <c r="L32" s="34" cm="1">
        <f t="array" ref="L32">SUM(COUNTIFS(AllDataApr[Site Name], B32, AllDataApr[Phosphate Pollution Category], {"High","Very high"}))/COUNTIFS(AllDataApr[Site Name], B32, AllDataApr[Phosphate (PPM)], "&lt;&gt;0")</f>
        <v>1</v>
      </c>
      <c r="M32" s="35">
        <f t="shared" si="2"/>
        <v>24</v>
      </c>
      <c r="N32" s="35">
        <f t="shared" si="3"/>
        <v>8</v>
      </c>
      <c r="O32" s="31">
        <f>COUNTIFS(AllDataApr[Site Name], Tables!B32, AllDataApr[Season], "Summer")</f>
        <v>0</v>
      </c>
      <c r="P32" s="32" t="str">
        <f>IFERROR(AVERAGEIFS(AllDataApr[Nitrate (PPM)], AllDataApr[Site Name], B32, AllDataApr[Season], "Summer"), "")</f>
        <v/>
      </c>
      <c r="Q32" s="34" t="str">
        <f t="shared" si="12"/>
        <v/>
      </c>
      <c r="R32" s="33" t="str">
        <f>IFERROR(AVERAGEIFS(AllDataApr[Phosphate (PPM)], AllDataApr[Site Name], B32, AllDataApr[Season], "Summer"),"")</f>
        <v/>
      </c>
      <c r="S32" s="36" t="str">
        <f t="shared" si="13"/>
        <v/>
      </c>
      <c r="T32" s="35">
        <f>COUNTIFS(AllDataApr[Site Name], Tables!B32, AllDataApr[Season], "Autumn")</f>
        <v>0</v>
      </c>
      <c r="U32" s="32" t="str">
        <f>IFERROR(AVERAGEIFS(AllDataApr[Nitrate (PPM)], AllDataApr[Site Name], B32, AllDataApr[Season], "Autumn"), "")</f>
        <v/>
      </c>
      <c r="V32" s="34" t="str">
        <f t="shared" si="6"/>
        <v/>
      </c>
      <c r="W32" s="33" t="str">
        <f>IFERROR(AVERAGEIFS(AllDataApr[Phosphate (PPM)], AllDataApr[Site Name], B32, AllDataApr[Season], "Autumn"), "")</f>
        <v/>
      </c>
      <c r="X32" s="36" t="str">
        <f t="shared" si="7"/>
        <v/>
      </c>
      <c r="Y32" s="35">
        <f>COUNTIFS(AllDataApr[Site Name], Tables!B32, AllDataApr[Season], "Winter")</f>
        <v>0</v>
      </c>
      <c r="Z32" s="32" t="str">
        <f>IFERROR(AVERAGEIFS(AllDataApr[Nitrate (PPM)], AllDataApr[Site Name], B32, AllDataApr[Season], "Winter"), "")</f>
        <v/>
      </c>
      <c r="AA32" s="34" t="str">
        <f t="shared" si="8"/>
        <v/>
      </c>
      <c r="AB32" s="33" t="str">
        <f>IFERROR(AVERAGEIFS(AllDataApr[Phosphate (PPM)], AllDataApr[Site Name], B32, AllDataApr[Season], "Winter"),"")</f>
        <v/>
      </c>
      <c r="AC32" s="34" t="str">
        <f t="shared" si="9"/>
        <v/>
      </c>
      <c r="AD32" s="65">
        <f>COUNTIFS(AllDataApr[Site Name], Tables!B32, AllDataApr[Season], "Spring")</f>
        <v>13</v>
      </c>
      <c r="AE32" s="32">
        <f>IFERROR(AVERAGEIFS(AllDataApr[Nitrate (PPM)], AllDataApr[Site Name], B32, AllDataApr[Season], "Spring"), "")</f>
        <v>5.6923076923076925</v>
      </c>
      <c r="AF32" s="34">
        <f t="shared" si="10"/>
        <v>0</v>
      </c>
      <c r="AG32" s="33">
        <f>IFERROR(AVERAGEIFS(AllDataApr[Phosphate (PPM)], AllDataApr[Site Name], B32, AllDataApr[Season], "Spring"),"")</f>
        <v>0.64461538461538459</v>
      </c>
      <c r="AH32" s="74">
        <f t="shared" si="11"/>
        <v>0</v>
      </c>
    </row>
    <row r="33" spans="1:34" x14ac:dyDescent="0.3">
      <c r="A33" s="45"/>
      <c r="B33" s="14" t="s">
        <v>39</v>
      </c>
      <c r="C33" s="29">
        <f>AVERAGEIF(AllDataApr[Site Name], Tables!B33, AllDataApr[Latitude])</f>
        <v>51.800844055555558</v>
      </c>
      <c r="D33" s="29">
        <f>AVERAGEIF(AllDataApr[Site Name], Tables!B33, AllDataApr[Longitude])</f>
        <v>-1.3440548333333335</v>
      </c>
      <c r="E33" s="14" t="s">
        <v>18</v>
      </c>
      <c r="F33" s="14" t="s">
        <v>185</v>
      </c>
      <c r="G33" s="30" t="s">
        <v>191</v>
      </c>
      <c r="H33" s="31">
        <f>COUNTIF(AllDataApr[Site Name], Tables!B33)</f>
        <v>31</v>
      </c>
      <c r="I33" s="32">
        <f t="shared" si="0"/>
        <v>7.5906250000000011</v>
      </c>
      <c r="J33" s="33">
        <f t="shared" si="1"/>
        <v>0.58251388888888889</v>
      </c>
      <c r="K33" s="34" cm="1">
        <f t="array" ref="K33">SUM(COUNTIFS(AllDataApr[Site Name], B33, AllDataApr[Nitrate Pollution Category], {"High","Very high"}))/COUNTIFS(AllDataApr[Site Name], B33, AllDataApr[Nitrate (PPM)], "&lt;&gt;0")</f>
        <v>0.967741935483871</v>
      </c>
      <c r="L33" s="34" cm="1">
        <f t="array" ref="L33">SUM(COUNTIFS(AllDataApr[Site Name], B33, AllDataApr[Phosphate Pollution Category], {"High","Very high"}))/COUNTIFS(AllDataApr[Site Name], B33, AllDataApr[Phosphate (PPM)], "&lt;&gt;0")</f>
        <v>1</v>
      </c>
      <c r="M33" s="35">
        <f t="shared" si="2"/>
        <v>8</v>
      </c>
      <c r="N33" s="35">
        <f t="shared" si="3"/>
        <v>15</v>
      </c>
      <c r="O33" s="31">
        <f>COUNTIFS(AllDataApr[Site Name], Tables!B33, AllDataApr[Season], "Summer")</f>
        <v>5</v>
      </c>
      <c r="P33" s="32">
        <f>IFERROR(AVERAGEIFS(AllDataApr[Nitrate (PPM)], AllDataApr[Site Name], B33, AllDataApr[Season], "Summer"), "")</f>
        <v>10</v>
      </c>
      <c r="Q33" s="34">
        <f t="shared" si="12"/>
        <v>0.31741457389872357</v>
      </c>
      <c r="R33" s="33">
        <f>IFERROR(AVERAGEIFS(AllDataApr[Phosphate (PPM)], AllDataApr[Site Name], B33, AllDataApr[Season], "Summer"),"")</f>
        <v>0.622</v>
      </c>
      <c r="S33" s="36">
        <f t="shared" si="13"/>
        <v>6.7785698958060137E-2</v>
      </c>
      <c r="T33" s="35">
        <f>COUNTIFS(AllDataApr[Site Name], Tables!B33, AllDataApr[Season], "Autumn")</f>
        <v>12</v>
      </c>
      <c r="U33" s="32">
        <f>IFERROR(AVERAGEIFS(AllDataApr[Nitrate (PPM)], AllDataApr[Site Name], B33, AllDataApr[Season], "Autumn"), "")</f>
        <v>8.7625000000000011</v>
      </c>
      <c r="V33" s="34">
        <f t="shared" si="6"/>
        <v>0.15438452037875666</v>
      </c>
      <c r="W33" s="33">
        <f>IFERROR(AVERAGEIFS(AllDataApr[Phosphate (PPM)], AllDataApr[Site Name], B33, AllDataApr[Season], "Autumn"), "")</f>
        <v>0.71250000000000002</v>
      </c>
      <c r="X33" s="36">
        <f t="shared" si="7"/>
        <v>0.22314680145919272</v>
      </c>
      <c r="Y33" s="35">
        <f>COUNTIFS(AllDataApr[Site Name], Tables!B33, AllDataApr[Season], "Winter")</f>
        <v>5</v>
      </c>
      <c r="Z33" s="32">
        <f>IFERROR(AVERAGEIFS(AllDataApr[Nitrate (PPM)], AllDataApr[Site Name], B33, AllDataApr[Season], "Winter"), "")</f>
        <v>4.5999999999999996</v>
      </c>
      <c r="AA33" s="34">
        <f t="shared" si="8"/>
        <v>-0.39398929600658722</v>
      </c>
      <c r="AB33" s="33">
        <f>IFERROR(AVERAGEIFS(AllDataApr[Phosphate (PPM)], AllDataApr[Site Name], B33, AllDataApr[Season], "Winter"),"")</f>
        <v>0.58000000000000007</v>
      </c>
      <c r="AC33" s="34">
        <f t="shared" si="9"/>
        <v>-4.3155861805868889E-3</v>
      </c>
      <c r="AD33" s="65">
        <f>COUNTIFS(AllDataApr[Site Name], Tables!B33, AllDataApr[Season], "Spring")</f>
        <v>9</v>
      </c>
      <c r="AE33" s="32">
        <f>IFERROR(AVERAGEIFS(AllDataApr[Nitrate (PPM)], AllDataApr[Site Name], B33, AllDataApr[Season], "Spring"), "")</f>
        <v>7</v>
      </c>
      <c r="AF33" s="34">
        <f t="shared" si="10"/>
        <v>-7.7809798270893502E-2</v>
      </c>
      <c r="AG33" s="33">
        <f>IFERROR(AVERAGEIFS(AllDataApr[Phosphate (PPM)], AllDataApr[Site Name], B33, AllDataApr[Season], "Spring"),"")</f>
        <v>0.41555555555555557</v>
      </c>
      <c r="AH33" s="74">
        <f t="shared" si="11"/>
        <v>-0.28661691423666574</v>
      </c>
    </row>
    <row r="34" spans="1:34" x14ac:dyDescent="0.3">
      <c r="A34" s="45"/>
      <c r="B34" s="14" t="s">
        <v>921</v>
      </c>
      <c r="C34" s="29">
        <v>52.286000000000001</v>
      </c>
      <c r="D34" s="29">
        <v>-1.748</v>
      </c>
      <c r="E34" s="14"/>
      <c r="F34" s="14" t="s">
        <v>1036</v>
      </c>
      <c r="G34" s="30" t="s">
        <v>921</v>
      </c>
      <c r="H34" s="31">
        <f>COUNTIF(AllDataApr[Site Name], Tables!B34)</f>
        <v>7</v>
      </c>
      <c r="I34" s="32">
        <f t="shared" si="0"/>
        <v>2.229166666666667</v>
      </c>
      <c r="J34" s="33">
        <f t="shared" si="1"/>
        <v>0.65</v>
      </c>
      <c r="K34" s="34" cm="1">
        <f t="array" ref="K34">SUM(COUNTIFS(AllDataApr[Site Name], B34, AllDataApr[Nitrate Pollution Category], {"High","Very high"}))/COUNTIFS(AllDataApr[Site Name], B34, AllDataApr[Nitrate (PPM)], "&lt;&gt;0")</f>
        <v>1</v>
      </c>
      <c r="L34" s="34" cm="1">
        <f t="array" ref="L34">SUM(COUNTIFS(AllDataApr[Site Name], B34, AllDataApr[Phosphate Pollution Category], {"High","Very high"}))/COUNTIFS(AllDataApr[Site Name], B34, AllDataApr[Phosphate (PPM)], "&lt;&gt;0")</f>
        <v>1</v>
      </c>
      <c r="M34" s="35">
        <f t="shared" si="2"/>
        <v>38</v>
      </c>
      <c r="N34" s="35">
        <f t="shared" si="3"/>
        <v>7</v>
      </c>
      <c r="O34" s="31">
        <f>COUNTIFS(AllDataApr[Site Name], Tables!B34, AllDataApr[Season], "Summer")</f>
        <v>0</v>
      </c>
      <c r="P34" s="32" t="str">
        <f>IFERROR(AVERAGEIFS(AllDataApr[Nitrate (PPM)], AllDataApr[Site Name], B34, AllDataApr[Season], "Summer"), "")</f>
        <v/>
      </c>
      <c r="Q34" s="34" t="str">
        <f t="shared" si="12"/>
        <v/>
      </c>
      <c r="R34" s="33" t="str">
        <f>IFERROR(AVERAGEIFS(AllDataApr[Phosphate (PPM)], AllDataApr[Site Name], B34, AllDataApr[Season], "Summer"),"")</f>
        <v/>
      </c>
      <c r="S34" s="36" t="str">
        <f t="shared" si="13"/>
        <v/>
      </c>
      <c r="T34" s="35">
        <f>COUNTIFS(AllDataApr[Site Name], Tables!B34, AllDataApr[Season], "Autumn")</f>
        <v>0</v>
      </c>
      <c r="U34" s="32" t="str">
        <f>IFERROR(AVERAGEIFS(AllDataApr[Nitrate (PPM)], AllDataApr[Site Name], B34, AllDataApr[Season], "Autumn"), "")</f>
        <v/>
      </c>
      <c r="V34" s="34" t="str">
        <f t="shared" si="6"/>
        <v/>
      </c>
      <c r="W34" s="33" t="str">
        <f>IFERROR(AVERAGEIFS(AllDataApr[Phosphate (PPM)], AllDataApr[Site Name], B34, AllDataApr[Season], "Autumn"), "")</f>
        <v/>
      </c>
      <c r="X34" s="36" t="str">
        <f t="shared" si="7"/>
        <v/>
      </c>
      <c r="Y34" s="35">
        <f>COUNTIFS(AllDataApr[Site Name], Tables!B34, AllDataApr[Season], "Winter")</f>
        <v>4</v>
      </c>
      <c r="Z34" s="32">
        <f>IFERROR(AVERAGEIFS(AllDataApr[Nitrate (PPM)], AllDataApr[Site Name], B34, AllDataApr[Season], "Winter"), "")</f>
        <v>2.125</v>
      </c>
      <c r="AA34" s="34">
        <f t="shared" si="8"/>
        <v>-4.6728971962616946E-2</v>
      </c>
      <c r="AB34" s="33">
        <f>IFERROR(AVERAGEIFS(AllDataApr[Phosphate (PPM)], AllDataApr[Site Name], B34, AllDataApr[Season], "Winter"),"")</f>
        <v>0.57000000000000006</v>
      </c>
      <c r="AC34" s="34">
        <f t="shared" si="9"/>
        <v>-0.12307692307692301</v>
      </c>
      <c r="AD34" s="65">
        <f>COUNTIFS(AllDataApr[Site Name], Tables!B34, AllDataApr[Season], "Spring")</f>
        <v>3</v>
      </c>
      <c r="AE34" s="32">
        <f>IFERROR(AVERAGEIFS(AllDataApr[Nitrate (PPM)], AllDataApr[Site Name], B34, AllDataApr[Season], "Spring"), "")</f>
        <v>2.3333333333333335</v>
      </c>
      <c r="AF34" s="34">
        <f t="shared" si="10"/>
        <v>4.6728971962616751E-2</v>
      </c>
      <c r="AG34" s="33">
        <f>IFERROR(AVERAGEIFS(AllDataApr[Phosphate (PPM)], AllDataApr[Site Name], B34, AllDataApr[Season], "Spring"),"")</f>
        <v>0.73</v>
      </c>
      <c r="AH34" s="74">
        <f t="shared" si="11"/>
        <v>0.12307692307692301</v>
      </c>
    </row>
    <row r="35" spans="1:34" x14ac:dyDescent="0.3">
      <c r="A35" s="45"/>
      <c r="B35" s="14" t="s">
        <v>922</v>
      </c>
      <c r="C35" s="29">
        <v>52.286499999999997</v>
      </c>
      <c r="D35" s="29">
        <v>-1.7457</v>
      </c>
      <c r="E35" s="14"/>
      <c r="F35" s="14" t="s">
        <v>1036</v>
      </c>
      <c r="G35" s="30" t="s">
        <v>922</v>
      </c>
      <c r="H35" s="31">
        <f>COUNTIF(AllDataApr[Site Name], Tables!B35)</f>
        <v>7</v>
      </c>
      <c r="I35" s="32">
        <f t="shared" si="0"/>
        <v>2.0625</v>
      </c>
      <c r="J35" s="33">
        <f t="shared" si="1"/>
        <v>0.30583333333333335</v>
      </c>
      <c r="K35" s="34" cm="1">
        <f t="array" ref="K35">SUM(COUNTIFS(AllDataApr[Site Name], B35, AllDataApr[Nitrate Pollution Category], {"High","Very high"}))/COUNTIFS(AllDataApr[Site Name], B35, AllDataApr[Nitrate (PPM)], "&lt;&gt;0")</f>
        <v>1</v>
      </c>
      <c r="L35" s="34" cm="1">
        <f t="array" ref="L35">SUM(COUNTIFS(AllDataApr[Site Name], B35, AllDataApr[Phosphate Pollution Category], {"High","Very high"}))/COUNTIFS(AllDataApr[Site Name], B35, AllDataApr[Phosphate (PPM)], "&lt;&gt;0")</f>
        <v>1</v>
      </c>
      <c r="M35" s="35">
        <f t="shared" si="2"/>
        <v>40</v>
      </c>
      <c r="N35" s="35">
        <f t="shared" si="3"/>
        <v>38</v>
      </c>
      <c r="O35" s="31">
        <f>COUNTIFS(AllDataApr[Site Name], Tables!B35, AllDataApr[Season], "Summer")</f>
        <v>0</v>
      </c>
      <c r="P35" s="32" t="str">
        <f>IFERROR(AVERAGEIFS(AllDataApr[Nitrate (PPM)], AllDataApr[Site Name], B35, AllDataApr[Season], "Summer"), "")</f>
        <v/>
      </c>
      <c r="Q35" s="34" t="str">
        <f t="shared" si="12"/>
        <v/>
      </c>
      <c r="R35" s="33" t="str">
        <f>IFERROR(AVERAGEIFS(AllDataApr[Phosphate (PPM)], AllDataApr[Site Name], B35, AllDataApr[Season], "Summer"),"")</f>
        <v/>
      </c>
      <c r="S35" s="36" t="str">
        <f t="shared" si="13"/>
        <v/>
      </c>
      <c r="T35" s="35">
        <f>COUNTIFS(AllDataApr[Site Name], Tables!B35, AllDataApr[Season], "Autumn")</f>
        <v>0</v>
      </c>
      <c r="U35" s="32" t="str">
        <f>IFERROR(AVERAGEIFS(AllDataApr[Nitrate (PPM)], AllDataApr[Site Name], B35, AllDataApr[Season], "Autumn"), "")</f>
        <v/>
      </c>
      <c r="V35" s="34" t="str">
        <f t="shared" si="6"/>
        <v/>
      </c>
      <c r="W35" s="33" t="str">
        <f>IFERROR(AVERAGEIFS(AllDataApr[Phosphate (PPM)], AllDataApr[Site Name], B35, AllDataApr[Season], "Autumn"), "")</f>
        <v/>
      </c>
      <c r="X35" s="36" t="str">
        <f t="shared" si="7"/>
        <v/>
      </c>
      <c r="Y35" s="35">
        <f>COUNTIFS(AllDataApr[Site Name], Tables!B35, AllDataApr[Season], "Winter")</f>
        <v>4</v>
      </c>
      <c r="Z35" s="32">
        <f>IFERROR(AVERAGEIFS(AllDataApr[Nitrate (PPM)], AllDataApr[Site Name], B35, AllDataApr[Season], "Winter"), "")</f>
        <v>2.125</v>
      </c>
      <c r="AA35" s="34">
        <f t="shared" si="8"/>
        <v>3.0303030303030304E-2</v>
      </c>
      <c r="AB35" s="33">
        <f>IFERROR(AVERAGEIFS(AllDataApr[Phosphate (PPM)], AllDataApr[Site Name], B35, AllDataApr[Season], "Winter"),"")</f>
        <v>0.28499999999999998</v>
      </c>
      <c r="AC35" s="34">
        <f t="shared" si="9"/>
        <v>-6.8119891008174505E-2</v>
      </c>
      <c r="AD35" s="65">
        <f>COUNTIFS(AllDataApr[Site Name], Tables!B35, AllDataApr[Season], "Spring")</f>
        <v>3</v>
      </c>
      <c r="AE35" s="32">
        <f>IFERROR(AVERAGEIFS(AllDataApr[Nitrate (PPM)], AllDataApr[Site Name], B35, AllDataApr[Season], "Spring"), "")</f>
        <v>2</v>
      </c>
      <c r="AF35" s="34">
        <f t="shared" si="10"/>
        <v>-3.0303030303030304E-2</v>
      </c>
      <c r="AG35" s="33">
        <f>IFERROR(AVERAGEIFS(AllDataApr[Phosphate (PPM)], AllDataApr[Site Name], B35, AllDataApr[Season], "Spring"),"")</f>
        <v>0.32666666666666672</v>
      </c>
      <c r="AH35" s="74">
        <f t="shared" si="11"/>
        <v>6.8119891008174505E-2</v>
      </c>
    </row>
    <row r="36" spans="1:34" x14ac:dyDescent="0.3">
      <c r="A36" s="45"/>
      <c r="B36" s="14" t="s">
        <v>180</v>
      </c>
      <c r="C36" s="29">
        <f>AVERAGEIF(AllDataApr[Site Name], Tables!B36, AllDataApr[Latitude])</f>
        <v>52.146537750000007</v>
      </c>
      <c r="D36" s="29">
        <f>AVERAGEIF(AllDataApr[Site Name], Tables!B36, AllDataApr[Longitude])</f>
        <v>-1.6996452812500003</v>
      </c>
      <c r="E36" s="14" t="s">
        <v>18</v>
      </c>
      <c r="F36" s="14" t="s">
        <v>185</v>
      </c>
      <c r="G36" s="30" t="s">
        <v>192</v>
      </c>
      <c r="H36" s="31">
        <f>COUNTIF(AllDataApr[Site Name], Tables!B36)</f>
        <v>33</v>
      </c>
      <c r="I36" s="32">
        <f t="shared" si="0"/>
        <v>5.2994505494505493</v>
      </c>
      <c r="J36" s="33">
        <f t="shared" si="1"/>
        <v>0.38429258241758246</v>
      </c>
      <c r="K36" s="34" cm="1">
        <f t="array" ref="K36">SUM(COUNTIFS(AllDataApr[Site Name], B36, AllDataApr[Nitrate Pollution Category], {"High","Very high"}))/COUNTIFS(AllDataApr[Site Name], B36, AllDataApr[Nitrate (PPM)], "&lt;&gt;0")</f>
        <v>1</v>
      </c>
      <c r="L36" s="34" cm="1">
        <f t="array" ref="L36">SUM(COUNTIFS(AllDataApr[Site Name], B36, AllDataApr[Phosphate Pollution Category], {"High","Very high"}))/COUNTIFS(AllDataApr[Site Name], B36, AllDataApr[Phosphate (PPM)], "&lt;&gt;0")</f>
        <v>1</v>
      </c>
      <c r="M36" s="35">
        <f t="shared" si="2"/>
        <v>29</v>
      </c>
      <c r="N36" s="35">
        <f t="shared" si="3"/>
        <v>33</v>
      </c>
      <c r="O36" s="31">
        <f>COUNTIFS(AllDataApr[Site Name], Tables!B36, AllDataApr[Season], "Summer")</f>
        <v>1</v>
      </c>
      <c r="P36" s="32">
        <f>IFERROR(AVERAGEIFS(AllDataApr[Nitrate (PPM)], AllDataApr[Site Name], B36, AllDataApr[Season], "Summer"), "")</f>
        <v>5</v>
      </c>
      <c r="Q36" s="34">
        <f t="shared" si="12"/>
        <v>-5.6505961638154453E-2</v>
      </c>
      <c r="R36" s="33">
        <f>IFERROR(AVERAGEIFS(AllDataApr[Phosphate (PPM)], AllDataApr[Site Name], B36, AllDataApr[Season], "Summer"),"")</f>
        <v>0.55000000000000004</v>
      </c>
      <c r="S36" s="36">
        <f t="shared" si="13"/>
        <v>0.43120118671027463</v>
      </c>
      <c r="T36" s="35">
        <f>COUNTIFS(AllDataApr[Site Name], Tables!B36, AllDataApr[Season], "Autumn")</f>
        <v>12</v>
      </c>
      <c r="U36" s="32">
        <f>IFERROR(AVERAGEIFS(AllDataApr[Nitrate (PPM)], AllDataApr[Site Name], B36, AllDataApr[Season], "Autumn"), "")</f>
        <v>5</v>
      </c>
      <c r="V36" s="34">
        <f t="shared" si="6"/>
        <v>-5.6505961638154453E-2</v>
      </c>
      <c r="W36" s="33">
        <f>IFERROR(AVERAGEIFS(AllDataApr[Phosphate (PPM)], AllDataApr[Site Name], B36, AllDataApr[Season], "Autumn"), "")</f>
        <v>0.47749999999999998</v>
      </c>
      <c r="X36" s="36">
        <f t="shared" si="7"/>
        <v>0.24254284846210192</v>
      </c>
      <c r="Y36" s="35">
        <f>COUNTIFS(AllDataApr[Site Name], Tables!B36, AllDataApr[Season], "Winter")</f>
        <v>7</v>
      </c>
      <c r="Z36" s="32">
        <f>IFERROR(AVERAGEIFS(AllDataApr[Nitrate (PPM)], AllDataApr[Site Name], B36, AllDataApr[Season], "Winter"), "")</f>
        <v>5.4285714285714288</v>
      </c>
      <c r="AA36" s="34">
        <f t="shared" si="8"/>
        <v>2.436495593571807E-2</v>
      </c>
      <c r="AB36" s="33">
        <f>IFERROR(AVERAGEIFS(AllDataApr[Phosphate (PPM)], AllDataApr[Site Name], B36, AllDataApr[Season], "Winter"),"")</f>
        <v>0.2442857142857143</v>
      </c>
      <c r="AC36" s="34">
        <f t="shared" si="9"/>
        <v>-0.36432362875985208</v>
      </c>
      <c r="AD36" s="65">
        <f>COUNTIFS(AllDataApr[Site Name], Tables!B36, AllDataApr[Season], "Spring")</f>
        <v>13</v>
      </c>
      <c r="AE36" s="32">
        <f>IFERROR(AVERAGEIFS(AllDataApr[Nitrate (PPM)], AllDataApr[Site Name], B36, AllDataApr[Season], "Spring"), "")</f>
        <v>5.7692307692307692</v>
      </c>
      <c r="AF36" s="34">
        <f t="shared" si="10"/>
        <v>8.8646967340591007E-2</v>
      </c>
      <c r="AG36" s="33">
        <f>IFERROR(AVERAGEIFS(AllDataApr[Phosphate (PPM)], AllDataApr[Site Name], B36, AllDataApr[Season], "Spring"),"")</f>
        <v>0.26538461538461544</v>
      </c>
      <c r="AH36" s="74">
        <f t="shared" si="11"/>
        <v>-0.30942040641252472</v>
      </c>
    </row>
    <row r="37" spans="1:34" x14ac:dyDescent="0.3">
      <c r="A37" s="45"/>
      <c r="B37" s="14" t="s">
        <v>280</v>
      </c>
      <c r="C37" s="29">
        <v>52.252499999999998</v>
      </c>
      <c r="D37" s="29">
        <v>-1.6685000000000001</v>
      </c>
      <c r="E37" s="14"/>
      <c r="F37" s="14" t="s">
        <v>185</v>
      </c>
      <c r="G37" s="30" t="s">
        <v>1038</v>
      </c>
      <c r="H37" s="31">
        <f>COUNTIF(AllDataApr[Site Name], Tables!B37)</f>
        <v>17</v>
      </c>
      <c r="I37" s="32">
        <f t="shared" si="0"/>
        <v>6.8785714285714281</v>
      </c>
      <c r="J37" s="33">
        <f t="shared" si="1"/>
        <v>0.59250000000000003</v>
      </c>
      <c r="K37" s="34" cm="1">
        <f t="array" ref="K37">SUM(COUNTIFS(AllDataApr[Site Name], B37, AllDataApr[Nitrate Pollution Category], {"High","Very high"}))/COUNTIFS(AllDataApr[Site Name], B37, AllDataApr[Nitrate (PPM)], "&lt;&gt;0")</f>
        <v>1</v>
      </c>
      <c r="L37" s="34" cm="1">
        <f t="array" ref="L37">SUM(COUNTIFS(AllDataApr[Site Name], B37, AllDataApr[Phosphate Pollution Category], {"High","Very high"}))/COUNTIFS(AllDataApr[Site Name], B37, AllDataApr[Phosphate (PPM)], "&lt;&gt;0")</f>
        <v>1</v>
      </c>
      <c r="M37" s="35">
        <f t="shared" si="2"/>
        <v>17</v>
      </c>
      <c r="N37" s="35">
        <f t="shared" si="3"/>
        <v>12</v>
      </c>
      <c r="O37" s="31">
        <f>COUNTIFS(AllDataApr[Site Name], Tables!B37, AllDataApr[Season], "Summer")</f>
        <v>0</v>
      </c>
      <c r="P37" s="32" t="str">
        <f>IFERROR(AVERAGEIFS(AllDataApr[Nitrate (PPM)], AllDataApr[Site Name], B37, AllDataApr[Season], "Summer"), "")</f>
        <v/>
      </c>
      <c r="Q37" s="34" t="str">
        <f t="shared" si="12"/>
        <v/>
      </c>
      <c r="R37" s="33" t="str">
        <f>IFERROR(AVERAGEIFS(AllDataApr[Phosphate (PPM)], AllDataApr[Site Name], B37, AllDataApr[Season], "Summer"),"")</f>
        <v/>
      </c>
      <c r="S37" s="36" t="str">
        <f t="shared" si="13"/>
        <v/>
      </c>
      <c r="T37" s="35">
        <f>COUNTIFS(AllDataApr[Site Name], Tables!B37, AllDataApr[Season], "Autumn")</f>
        <v>0</v>
      </c>
      <c r="U37" s="32" t="str">
        <f>IFERROR(AVERAGEIFS(AllDataApr[Nitrate (PPM)], AllDataApr[Site Name], B37, AllDataApr[Season], "Autumn"), "")</f>
        <v/>
      </c>
      <c r="V37" s="34" t="str">
        <f t="shared" si="6"/>
        <v/>
      </c>
      <c r="W37" s="33" t="str">
        <f>IFERROR(AVERAGEIFS(AllDataApr[Phosphate (PPM)], AllDataApr[Site Name], B37, AllDataApr[Season], "Autumn"), "")</f>
        <v/>
      </c>
      <c r="X37" s="36" t="str">
        <f t="shared" si="7"/>
        <v/>
      </c>
      <c r="Y37" s="35">
        <f>COUNTIFS(AllDataApr[Site Name], Tables!B37, AllDataApr[Season], "Winter")</f>
        <v>7</v>
      </c>
      <c r="Z37" s="32">
        <f>IFERROR(AVERAGEIFS(AllDataApr[Nitrate (PPM)], AllDataApr[Site Name], B37, AllDataApr[Season], "Winter"), "")</f>
        <v>7.8571428571428568</v>
      </c>
      <c r="AA37" s="34">
        <f t="shared" si="8"/>
        <v>0.14226375908618902</v>
      </c>
      <c r="AB37" s="33">
        <f>IFERROR(AVERAGEIFS(AllDataApr[Phosphate (PPM)], AllDataApr[Site Name], B37, AllDataApr[Season], "Winter"),"")</f>
        <v>0.55999999999999994</v>
      </c>
      <c r="AC37" s="34">
        <f t="shared" si="9"/>
        <v>-5.4852320675105627E-2</v>
      </c>
      <c r="AD37" s="65">
        <f>COUNTIFS(AllDataApr[Site Name], Tables!B37, AllDataApr[Season], "Spring")</f>
        <v>10</v>
      </c>
      <c r="AE37" s="32">
        <f>IFERROR(AVERAGEIFS(AllDataApr[Nitrate (PPM)], AllDataApr[Site Name], B37, AllDataApr[Season], "Spring"), "")</f>
        <v>5.9</v>
      </c>
      <c r="AF37" s="34">
        <f t="shared" si="10"/>
        <v>-0.14226375908618888</v>
      </c>
      <c r="AG37" s="33">
        <f>IFERROR(AVERAGEIFS(AllDataApr[Phosphate (PPM)], AllDataApr[Site Name], B37, AllDataApr[Season], "Spring"),"")</f>
        <v>0.625</v>
      </c>
      <c r="AH37" s="74">
        <f t="shared" si="11"/>
        <v>5.485232067510544E-2</v>
      </c>
    </row>
    <row r="38" spans="1:34" x14ac:dyDescent="0.3">
      <c r="A38" s="45"/>
      <c r="B38" s="14" t="s">
        <v>917</v>
      </c>
      <c r="C38" s="54" t="s">
        <v>1047</v>
      </c>
      <c r="D38" s="54" t="s">
        <v>1047</v>
      </c>
      <c r="E38" s="14"/>
      <c r="F38" s="14" t="s">
        <v>185</v>
      </c>
      <c r="G38" s="30" t="s">
        <v>1038</v>
      </c>
      <c r="H38" s="31">
        <f>COUNTIF(AllDataApr[Site Name], Tables!B38)</f>
        <v>1</v>
      </c>
      <c r="I38" s="32">
        <f t="shared" si="0"/>
        <v>4</v>
      </c>
      <c r="J38" s="33">
        <f t="shared" si="1"/>
        <v>0.57999999999999996</v>
      </c>
      <c r="K38" s="34" cm="1">
        <f t="array" ref="K38">SUM(COUNTIFS(AllDataApr[Site Name], B38, AllDataApr[Nitrate Pollution Category], {"High","Very high"}))/COUNTIFS(AllDataApr[Site Name], B38, AllDataApr[Nitrate (PPM)], "&lt;&gt;0")</f>
        <v>1</v>
      </c>
      <c r="L38" s="34" cm="1">
        <f t="array" ref="L38">SUM(COUNTIFS(AllDataApr[Site Name], B38, AllDataApr[Phosphate Pollution Category], {"High","Very high"}))/COUNTIFS(AllDataApr[Site Name], B38, AllDataApr[Phosphate (PPM)], "&lt;&gt;0")</f>
        <v>1</v>
      </c>
      <c r="M38" s="35">
        <f t="shared" si="2"/>
        <v>34</v>
      </c>
      <c r="N38" s="35">
        <f t="shared" si="3"/>
        <v>17</v>
      </c>
      <c r="O38" s="31">
        <f>COUNTIFS(AllDataApr[Site Name], Tables!B38, AllDataApr[Season], "Summer")</f>
        <v>0</v>
      </c>
      <c r="P38" s="32" t="str">
        <f>IFERROR(AVERAGEIFS(AllDataApr[Nitrate (PPM)], AllDataApr[Site Name], B38, AllDataApr[Season], "Summer"), "")</f>
        <v/>
      </c>
      <c r="Q38" s="34" t="str">
        <f t="shared" si="12"/>
        <v/>
      </c>
      <c r="R38" s="33" t="str">
        <f>IFERROR(AVERAGEIFS(AllDataApr[Phosphate (PPM)], AllDataApr[Site Name], B38, AllDataApr[Season], "Summer"),"")</f>
        <v/>
      </c>
      <c r="S38" s="36" t="str">
        <f t="shared" si="13"/>
        <v/>
      </c>
      <c r="T38" s="35">
        <f>COUNTIFS(AllDataApr[Site Name], Tables!B38, AllDataApr[Season], "Autumn")</f>
        <v>0</v>
      </c>
      <c r="U38" s="32" t="str">
        <f>IFERROR(AVERAGEIFS(AllDataApr[Nitrate (PPM)], AllDataApr[Site Name], B38, AllDataApr[Season], "Autumn"), "")</f>
        <v/>
      </c>
      <c r="V38" s="34" t="str">
        <f t="shared" si="6"/>
        <v/>
      </c>
      <c r="W38" s="33" t="str">
        <f>IFERROR(AVERAGEIFS(AllDataApr[Phosphate (PPM)], AllDataApr[Site Name], B38, AllDataApr[Season], "Autumn"), "")</f>
        <v/>
      </c>
      <c r="X38" s="36" t="str">
        <f t="shared" si="7"/>
        <v/>
      </c>
      <c r="Y38" s="35">
        <f>COUNTIFS(AllDataApr[Site Name], Tables!B38, AllDataApr[Season], "Winter")</f>
        <v>0</v>
      </c>
      <c r="Z38" s="32" t="str">
        <f>IFERROR(AVERAGEIFS(AllDataApr[Nitrate (PPM)], AllDataApr[Site Name], B38, AllDataApr[Season], "Winter"), "")</f>
        <v/>
      </c>
      <c r="AA38" s="34" t="str">
        <f t="shared" si="8"/>
        <v/>
      </c>
      <c r="AB38" s="33" t="str">
        <f>IFERROR(AVERAGEIFS(AllDataApr[Phosphate (PPM)], AllDataApr[Site Name], B38, AllDataApr[Season], "Winter"),"")</f>
        <v/>
      </c>
      <c r="AC38" s="34" t="str">
        <f t="shared" si="9"/>
        <v/>
      </c>
      <c r="AD38" s="65">
        <f>COUNTIFS(AllDataApr[Site Name], Tables!B38, AllDataApr[Season], "Spring")</f>
        <v>1</v>
      </c>
      <c r="AE38" s="32">
        <f>IFERROR(AVERAGEIFS(AllDataApr[Nitrate (PPM)], AllDataApr[Site Name], B38, AllDataApr[Season], "Spring"), "")</f>
        <v>4</v>
      </c>
      <c r="AF38" s="34">
        <f t="shared" si="10"/>
        <v>0</v>
      </c>
      <c r="AG38" s="33">
        <f>IFERROR(AVERAGEIFS(AllDataApr[Phosphate (PPM)], AllDataApr[Site Name], B38, AllDataApr[Season], "Spring"),"")</f>
        <v>0.57999999999999996</v>
      </c>
      <c r="AH38" s="74">
        <f t="shared" si="11"/>
        <v>0</v>
      </c>
    </row>
    <row r="39" spans="1:34" x14ac:dyDescent="0.3">
      <c r="A39" s="45"/>
      <c r="B39" s="14" t="s">
        <v>1023</v>
      </c>
      <c r="C39" s="29">
        <f>AVERAGEIF(AllDataApr[Site Name], Tables!B39, AllDataApr[Latitude])</f>
        <v>52.013255999999998</v>
      </c>
      <c r="D39" s="29">
        <f>AVERAGEIF(AllDataApr[Site Name], Tables!B39, AllDataApr[Longitude])</f>
        <v>-1.5387710000000001</v>
      </c>
      <c r="E39" s="14" t="s">
        <v>42</v>
      </c>
      <c r="F39" s="14" t="s">
        <v>188</v>
      </c>
      <c r="G39" s="30" t="s">
        <v>192</v>
      </c>
      <c r="H39" s="31">
        <f>COUNTIF(AllDataApr[Site Name], Tables!B39)</f>
        <v>6</v>
      </c>
      <c r="I39" s="32">
        <f t="shared" si="0"/>
        <v>1.76</v>
      </c>
      <c r="J39" s="33">
        <f t="shared" si="1"/>
        <v>0.24833333333333332</v>
      </c>
      <c r="K39" s="34" cm="1">
        <f t="array" ref="K39">SUM(COUNTIFS(AllDataApr[Site Name], B39, AllDataApr[Nitrate Pollution Category], {"High","Very high"}))/COUNTIFS(AllDataApr[Site Name], B39, AllDataApr[Nitrate (PPM)], "&lt;&gt;0")</f>
        <v>0.83333333333333337</v>
      </c>
      <c r="L39" s="34" cm="1">
        <f t="array" ref="L39">SUM(COUNTIFS(AllDataApr[Site Name], B39, AllDataApr[Phosphate Pollution Category], {"High","Very high"}))/COUNTIFS(AllDataApr[Site Name], B39, AllDataApr[Phosphate (PPM)], "&lt;&gt;0")</f>
        <v>0.66666666666666663</v>
      </c>
      <c r="M39" s="35">
        <f t="shared" si="2"/>
        <v>42</v>
      </c>
      <c r="N39" s="35">
        <f t="shared" si="3"/>
        <v>42</v>
      </c>
      <c r="O39" s="31">
        <f>COUNTIFS(AllDataApr[Site Name], Tables!B39, AllDataApr[Season], "Summer")</f>
        <v>0</v>
      </c>
      <c r="P39" s="32" t="str">
        <f>IFERROR(AVERAGEIFS(AllDataApr[Nitrate (PPM)], AllDataApr[Site Name], B39, AllDataApr[Season], "Summer"), "")</f>
        <v/>
      </c>
      <c r="Q39" s="34" t="str">
        <f t="shared" si="12"/>
        <v/>
      </c>
      <c r="R39" s="33" t="str">
        <f>IFERROR(AVERAGEIFS(AllDataApr[Phosphate (PPM)], AllDataApr[Site Name], B39, AllDataApr[Season], "Summer"),"")</f>
        <v/>
      </c>
      <c r="S39" s="36" t="str">
        <f t="shared" si="13"/>
        <v/>
      </c>
      <c r="T39" s="35">
        <f>COUNTIFS(AllDataApr[Site Name], Tables!B39, AllDataApr[Season], "Autumn")</f>
        <v>0</v>
      </c>
      <c r="U39" s="32" t="str">
        <f>IFERROR(AVERAGEIFS(AllDataApr[Nitrate (PPM)], AllDataApr[Site Name], B39, AllDataApr[Season], "Autumn"), "")</f>
        <v/>
      </c>
      <c r="V39" s="34" t="str">
        <f t="shared" si="6"/>
        <v/>
      </c>
      <c r="W39" s="33" t="str">
        <f>IFERROR(AVERAGEIFS(AllDataApr[Phosphate (PPM)], AllDataApr[Site Name], B39, AllDataApr[Season], "Autumn"), "")</f>
        <v/>
      </c>
      <c r="X39" s="36" t="str">
        <f t="shared" si="7"/>
        <v/>
      </c>
      <c r="Y39" s="35">
        <f>COUNTIFS(AllDataApr[Site Name], Tables!B39, AllDataApr[Season], "Winter")</f>
        <v>0</v>
      </c>
      <c r="Z39" s="32" t="str">
        <f>IFERROR(AVERAGEIFS(AllDataApr[Nitrate (PPM)], AllDataApr[Site Name], B39, AllDataApr[Season], "Winter"), "")</f>
        <v/>
      </c>
      <c r="AA39" s="34" t="str">
        <f t="shared" si="8"/>
        <v/>
      </c>
      <c r="AB39" s="33" t="str">
        <f>IFERROR(AVERAGEIFS(AllDataApr[Phosphate (PPM)], AllDataApr[Site Name], B39, AllDataApr[Season], "Winter"),"")</f>
        <v/>
      </c>
      <c r="AC39" s="34" t="str">
        <f t="shared" si="9"/>
        <v/>
      </c>
      <c r="AD39" s="65">
        <f>COUNTIFS(AllDataApr[Site Name], Tables!B39, AllDataApr[Season], "Spring")</f>
        <v>6</v>
      </c>
      <c r="AE39" s="32">
        <f>IFERROR(AVERAGEIFS(AllDataApr[Nitrate (PPM)], AllDataApr[Site Name], B39, AllDataApr[Season], "Spring"), "")</f>
        <v>1.76</v>
      </c>
      <c r="AF39" s="34">
        <f t="shared" si="10"/>
        <v>0</v>
      </c>
      <c r="AG39" s="33">
        <f>IFERROR(AVERAGEIFS(AllDataApr[Phosphate (PPM)], AllDataApr[Site Name], B39, AllDataApr[Season], "Spring"),"")</f>
        <v>0.24833333333333332</v>
      </c>
      <c r="AH39" s="74">
        <f t="shared" si="11"/>
        <v>0</v>
      </c>
    </row>
    <row r="40" spans="1:34" x14ac:dyDescent="0.3">
      <c r="A40" s="45"/>
      <c r="B40" s="14" t="s">
        <v>1025</v>
      </c>
      <c r="C40" s="29">
        <f>AVERAGEIF(AllDataApr[Site Name], Tables!B40, AllDataApr[Latitude])</f>
        <v>52.029943500000002</v>
      </c>
      <c r="D40" s="29">
        <f>AVERAGEIF(AllDataApr[Site Name], Tables!B40, AllDataApr[Longitude])</f>
        <v>-1.5807020000000001</v>
      </c>
      <c r="E40" s="14" t="s">
        <v>18</v>
      </c>
      <c r="F40" s="14" t="s">
        <v>188</v>
      </c>
      <c r="G40" s="30" t="s">
        <v>192</v>
      </c>
      <c r="H40" s="31">
        <f>COUNTIF(AllDataApr[Site Name], Tables!B40)</f>
        <v>2</v>
      </c>
      <c r="I40" s="32">
        <f t="shared" si="0"/>
        <v>0.5</v>
      </c>
      <c r="J40" s="33">
        <f t="shared" si="1"/>
        <v>0.255</v>
      </c>
      <c r="K40" s="34" cm="1">
        <f t="array" ref="K40">SUM(COUNTIFS(AllDataApr[Site Name], B40, AllDataApr[Nitrate Pollution Category], {"High","Very high"}))/COUNTIFS(AllDataApr[Site Name], B40, AllDataApr[Nitrate (PPM)], "&lt;&gt;0")</f>
        <v>0</v>
      </c>
      <c r="L40" s="34" cm="1">
        <f t="array" ref="L40">SUM(COUNTIFS(AllDataApr[Site Name], B40, AllDataApr[Phosphate Pollution Category], {"High","Very high"}))/COUNTIFS(AllDataApr[Site Name], B40, AllDataApr[Phosphate (PPM)], "&lt;&gt;0")</f>
        <v>1</v>
      </c>
      <c r="M40" s="35">
        <f t="shared" si="2"/>
        <v>44</v>
      </c>
      <c r="N40" s="35">
        <f t="shared" si="3"/>
        <v>41</v>
      </c>
      <c r="O40" s="31">
        <f>COUNTIFS(AllDataApr[Site Name], Tables!B40, AllDataApr[Season], "Summer")</f>
        <v>0</v>
      </c>
      <c r="P40" s="32" t="str">
        <f>IFERROR(AVERAGEIFS(AllDataApr[Nitrate (PPM)], AllDataApr[Site Name], B40, AllDataApr[Season], "Summer"), "")</f>
        <v/>
      </c>
      <c r="Q40" s="34" t="str">
        <f t="shared" si="12"/>
        <v/>
      </c>
      <c r="R40" s="33" t="str">
        <f>IFERROR(AVERAGEIFS(AllDataApr[Phosphate (PPM)], AllDataApr[Site Name], B40, AllDataApr[Season], "Summer"),"")</f>
        <v/>
      </c>
      <c r="S40" s="36" t="str">
        <f t="shared" si="13"/>
        <v/>
      </c>
      <c r="T40" s="35">
        <f>COUNTIFS(AllDataApr[Site Name], Tables!B40, AllDataApr[Season], "Autumn")</f>
        <v>1</v>
      </c>
      <c r="U40" s="32" t="str">
        <f>IFERROR(AVERAGEIFS(AllDataApr[Nitrate (PPM)], AllDataApr[Site Name], B40, AllDataApr[Season], "Autumn"), "")</f>
        <v/>
      </c>
      <c r="V40" s="34" t="str">
        <f t="shared" si="6"/>
        <v/>
      </c>
      <c r="W40" s="33">
        <f>IFERROR(AVERAGEIFS(AllDataApr[Phosphate (PPM)], AllDataApr[Site Name], B40, AllDataApr[Season], "Autumn"), "")</f>
        <v>0.18</v>
      </c>
      <c r="X40" s="36">
        <f t="shared" si="7"/>
        <v>-0.29411764705882359</v>
      </c>
      <c r="Y40" s="35">
        <f>COUNTIFS(AllDataApr[Site Name], Tables!B40, AllDataApr[Season], "Winter")</f>
        <v>1</v>
      </c>
      <c r="Z40" s="32">
        <f>IFERROR(AVERAGEIFS(AllDataApr[Nitrate (PPM)], AllDataApr[Site Name], B40, AllDataApr[Season], "Winter"), "")</f>
        <v>0.5</v>
      </c>
      <c r="AA40" s="34">
        <f t="shared" si="8"/>
        <v>0</v>
      </c>
      <c r="AB40" s="33">
        <f>IFERROR(AVERAGEIFS(AllDataApr[Phosphate (PPM)], AllDataApr[Site Name], B40, AllDataApr[Season], "Winter"),"")</f>
        <v>0.33</v>
      </c>
      <c r="AC40" s="34">
        <f t="shared" si="9"/>
        <v>0.29411764705882359</v>
      </c>
      <c r="AD40" s="65">
        <f>COUNTIFS(AllDataApr[Site Name], Tables!B40, AllDataApr[Season], "Spring")</f>
        <v>0</v>
      </c>
      <c r="AE40" s="32" t="str">
        <f>IFERROR(AVERAGEIFS(AllDataApr[Nitrate (PPM)], AllDataApr[Site Name], B40, AllDataApr[Season], "Spring"), "")</f>
        <v/>
      </c>
      <c r="AF40" s="34" t="str">
        <f t="shared" si="10"/>
        <v/>
      </c>
      <c r="AG40" s="33" t="str">
        <f>IFERROR(AVERAGEIFS(AllDataApr[Phosphate (PPM)], AllDataApr[Site Name], B40, AllDataApr[Season], "Spring"),"")</f>
        <v/>
      </c>
      <c r="AH40" s="74" t="str">
        <f t="shared" si="11"/>
        <v/>
      </c>
    </row>
    <row r="41" spans="1:34" x14ac:dyDescent="0.3">
      <c r="A41" s="45"/>
      <c r="B41" s="14" t="s">
        <v>1029</v>
      </c>
      <c r="C41" s="29">
        <f>AVERAGEIF(AllDataApr[Site Name], Tables!B41, AllDataApr[Latitude])</f>
        <v>52.113065079999984</v>
      </c>
      <c r="D41" s="29">
        <f>AVERAGEIF(AllDataApr[Site Name], Tables!B41, AllDataApr[Longitude])</f>
        <v>-1.6333837199999999</v>
      </c>
      <c r="E41" s="14" t="s">
        <v>18</v>
      </c>
      <c r="F41" s="14" t="s">
        <v>188</v>
      </c>
      <c r="G41" s="30" t="s">
        <v>192</v>
      </c>
      <c r="H41" s="31">
        <f>COUNTIF(AllDataApr[Site Name], Tables!B41)</f>
        <v>27</v>
      </c>
      <c r="I41" s="32">
        <f t="shared" si="0"/>
        <v>3.5034965034965033</v>
      </c>
      <c r="J41" s="33">
        <f t="shared" si="1"/>
        <v>0.42783216783216788</v>
      </c>
      <c r="K41" s="34" cm="1">
        <f t="array" ref="K41">SUM(COUNTIFS(AllDataApr[Site Name], B41, AllDataApr[Nitrate Pollution Category], {"High","Very high"}))/COUNTIFS(AllDataApr[Site Name], B41, AllDataApr[Nitrate (PPM)], "&lt;&gt;0")</f>
        <v>1</v>
      </c>
      <c r="L41" s="34" cm="1">
        <f t="array" ref="L41">SUM(COUNTIFS(AllDataApr[Site Name], B41, AllDataApr[Phosphate Pollution Category], {"High","Very high"}))/COUNTIFS(AllDataApr[Site Name], B41, AllDataApr[Phosphate (PPM)], "&lt;&gt;0")</f>
        <v>0.96296296296296291</v>
      </c>
      <c r="M41" s="35">
        <f t="shared" si="2"/>
        <v>35</v>
      </c>
      <c r="N41" s="35">
        <f t="shared" si="3"/>
        <v>31</v>
      </c>
      <c r="O41" s="31">
        <f>COUNTIFS(AllDataApr[Site Name], Tables!B41, AllDataApr[Season], "Summer")</f>
        <v>1</v>
      </c>
      <c r="P41" s="32">
        <f>IFERROR(AVERAGEIFS(AllDataApr[Nitrate (PPM)], AllDataApr[Site Name], B41, AllDataApr[Season], "Summer"), "")</f>
        <v>2</v>
      </c>
      <c r="Q41" s="34">
        <f t="shared" si="12"/>
        <v>-0.42914171656686623</v>
      </c>
      <c r="R41" s="33">
        <f>IFERROR(AVERAGEIFS(AllDataApr[Phosphate (PPM)], AllDataApr[Site Name], B41, AllDataApr[Season], "Summer"),"")</f>
        <v>0.78</v>
      </c>
      <c r="S41" s="36">
        <f t="shared" si="13"/>
        <v>0.82314481856815935</v>
      </c>
      <c r="T41" s="35">
        <f>COUNTIFS(AllDataApr[Site Name], Tables!B41, AllDataApr[Season], "Autumn")</f>
        <v>13</v>
      </c>
      <c r="U41" s="32">
        <f>IFERROR(AVERAGEIFS(AllDataApr[Nitrate (PPM)], AllDataApr[Site Name], B41, AllDataApr[Season], "Autumn"), "")</f>
        <v>5.9230769230769234</v>
      </c>
      <c r="V41" s="34">
        <f t="shared" si="6"/>
        <v>0.69061876247505005</v>
      </c>
      <c r="W41" s="33">
        <f>IFERROR(AVERAGEIFS(AllDataApr[Phosphate (PPM)], AllDataApr[Site Name], B41, AllDataApr[Season], "Autumn"), "")</f>
        <v>0.48769230769230776</v>
      </c>
      <c r="X41" s="36">
        <f t="shared" si="7"/>
        <v>0.13991500490356329</v>
      </c>
      <c r="Y41" s="35">
        <f>COUNTIFS(AllDataApr[Site Name], Tables!B41, AllDataApr[Season], "Winter")</f>
        <v>11</v>
      </c>
      <c r="Z41" s="32">
        <f>IFERROR(AVERAGEIFS(AllDataApr[Nitrate (PPM)], AllDataApr[Site Name], B41, AllDataApr[Season], "Winter"), "")</f>
        <v>4.0909090909090908</v>
      </c>
      <c r="AA41" s="34">
        <f t="shared" si="8"/>
        <v>0.16766467065868268</v>
      </c>
      <c r="AB41" s="33">
        <f>IFERROR(AVERAGEIFS(AllDataApr[Phosphate (PPM)], AllDataApr[Site Name], B41, AllDataApr[Season], "Winter"),"")</f>
        <v>0.24363636363636365</v>
      </c>
      <c r="AC41" s="34">
        <f t="shared" si="9"/>
        <v>-0.43053285387381501</v>
      </c>
      <c r="AD41" s="65">
        <f>COUNTIFS(AllDataApr[Site Name], Tables!B41, AllDataApr[Season], "Spring")</f>
        <v>2</v>
      </c>
      <c r="AE41" s="32">
        <f>IFERROR(AVERAGEIFS(AllDataApr[Nitrate (PPM)], AllDataApr[Site Name], B41, AllDataApr[Season], "Spring"), "")</f>
        <v>2</v>
      </c>
      <c r="AF41" s="34">
        <f t="shared" si="10"/>
        <v>-0.42914171656686623</v>
      </c>
      <c r="AG41" s="33">
        <f>IFERROR(AVERAGEIFS(AllDataApr[Phosphate (PPM)], AllDataApr[Site Name], B41, AllDataApr[Season], "Spring"),"")</f>
        <v>0.2</v>
      </c>
      <c r="AH41" s="74">
        <f t="shared" si="11"/>
        <v>-0.5325269695979078</v>
      </c>
    </row>
    <row r="42" spans="1:34" x14ac:dyDescent="0.3">
      <c r="A42" s="45"/>
      <c r="B42" s="14" t="s">
        <v>1027</v>
      </c>
      <c r="C42" s="29">
        <f>AVERAGEIF(AllDataApr[Site Name], Tables!B42, AllDataApr[Latitude])</f>
        <v>52.06201572727273</v>
      </c>
      <c r="D42" s="29">
        <f>AVERAGEIF(AllDataApr[Site Name], Tables!B42, AllDataApr[Longitude])</f>
        <v>-1.6218167272727273</v>
      </c>
      <c r="E42" s="14"/>
      <c r="F42" s="14" t="s">
        <v>188</v>
      </c>
      <c r="G42" s="30" t="s">
        <v>192</v>
      </c>
      <c r="H42" s="31">
        <f>COUNTIF(AllDataApr[Site Name], Tables!B42)</f>
        <v>11</v>
      </c>
      <c r="I42" s="32">
        <f t="shared" si="0"/>
        <v>5.8833333333333329</v>
      </c>
      <c r="J42" s="33">
        <f t="shared" si="1"/>
        <v>0.34249999999999992</v>
      </c>
      <c r="K42" s="34" cm="1">
        <f t="array" ref="K42">SUM(COUNTIFS(AllDataApr[Site Name], B42, AllDataApr[Nitrate Pollution Category], {"High","Very high"}))/COUNTIFS(AllDataApr[Site Name], B42, AllDataApr[Nitrate (PPM)], "&lt;&gt;0")</f>
        <v>1</v>
      </c>
      <c r="L42" s="34" cm="1">
        <f t="array" ref="L42">SUM(COUNTIFS(AllDataApr[Site Name], B42, AllDataApr[Phosphate Pollution Category], {"High","Very high"}))/COUNTIFS(AllDataApr[Site Name], B42, AllDataApr[Phosphate (PPM)], "&lt;&gt;0")</f>
        <v>1</v>
      </c>
      <c r="M42" s="35">
        <f t="shared" si="2"/>
        <v>21</v>
      </c>
      <c r="N42" s="35">
        <f t="shared" si="3"/>
        <v>34</v>
      </c>
      <c r="O42" s="31">
        <f>COUNTIFS(AllDataApr[Site Name], Tables!B42, AllDataApr[Season], "Summer")</f>
        <v>0</v>
      </c>
      <c r="P42" s="32" t="str">
        <f>IFERROR(AVERAGEIFS(AllDataApr[Nitrate (PPM)], AllDataApr[Site Name], B42, AllDataApr[Season], "Summer"), "")</f>
        <v/>
      </c>
      <c r="Q42" s="34" t="str">
        <f t="shared" si="12"/>
        <v/>
      </c>
      <c r="R42" s="33" t="str">
        <f>IFERROR(AVERAGEIFS(AllDataApr[Phosphate (PPM)], AllDataApr[Site Name], B42, AllDataApr[Season], "Summer"),"")</f>
        <v/>
      </c>
      <c r="S42" s="36" t="str">
        <f t="shared" si="13"/>
        <v/>
      </c>
      <c r="T42" s="35">
        <f>COUNTIFS(AllDataApr[Site Name], Tables!B42, AllDataApr[Season], "Autumn")</f>
        <v>6</v>
      </c>
      <c r="U42" s="32">
        <f>IFERROR(AVERAGEIFS(AllDataApr[Nitrate (PPM)], AllDataApr[Site Name], B42, AllDataApr[Season], "Autumn"), "")</f>
        <v>8.1666666666666661</v>
      </c>
      <c r="V42" s="34">
        <f t="shared" si="6"/>
        <v>0.38810198300283288</v>
      </c>
      <c r="W42" s="33">
        <f>IFERROR(AVERAGEIFS(AllDataApr[Phosphate (PPM)], AllDataApr[Site Name], B42, AllDataApr[Season], "Autumn"), "")</f>
        <v>0.43499999999999989</v>
      </c>
      <c r="X42" s="36">
        <f t="shared" si="7"/>
        <v>0.27007299270072993</v>
      </c>
      <c r="Y42" s="35">
        <f>COUNTIFS(AllDataApr[Site Name], Tables!B42, AllDataApr[Season], "Winter")</f>
        <v>5</v>
      </c>
      <c r="Z42" s="32">
        <f>IFERROR(AVERAGEIFS(AllDataApr[Nitrate (PPM)], AllDataApr[Site Name], B42, AllDataApr[Season], "Winter"), "")</f>
        <v>3.6</v>
      </c>
      <c r="AA42" s="34">
        <f t="shared" si="8"/>
        <v>-0.38810198300283277</v>
      </c>
      <c r="AB42" s="33">
        <f>IFERROR(AVERAGEIFS(AllDataApr[Phosphate (PPM)], AllDataApr[Site Name], B42, AllDataApr[Season], "Winter"),"")</f>
        <v>0.25</v>
      </c>
      <c r="AC42" s="34">
        <f t="shared" si="9"/>
        <v>-0.27007299270072976</v>
      </c>
      <c r="AD42" s="65">
        <f>COUNTIFS(AllDataApr[Site Name], Tables!B42, AllDataApr[Season], "Spring")</f>
        <v>0</v>
      </c>
      <c r="AE42" s="32" t="str">
        <f>IFERROR(AVERAGEIFS(AllDataApr[Nitrate (PPM)], AllDataApr[Site Name], B42, AllDataApr[Season], "Spring"), "")</f>
        <v/>
      </c>
      <c r="AF42" s="34" t="str">
        <f t="shared" si="10"/>
        <v/>
      </c>
      <c r="AG42" s="33" t="str">
        <f>IFERROR(AVERAGEIFS(AllDataApr[Phosphate (PPM)], AllDataApr[Site Name], B42, AllDataApr[Season], "Spring"),"")</f>
        <v/>
      </c>
      <c r="AH42" s="74" t="str">
        <f t="shared" si="11"/>
        <v/>
      </c>
    </row>
    <row r="43" spans="1:34" x14ac:dyDescent="0.3">
      <c r="A43" s="45"/>
      <c r="B43" s="14" t="s">
        <v>1026</v>
      </c>
      <c r="C43" s="29">
        <f>AVERAGEIF(AllDataApr[Site Name], Tables!B43, AllDataApr[Latitude])</f>
        <v>52.045657038461528</v>
      </c>
      <c r="D43" s="29">
        <f>AVERAGEIF(AllDataApr[Site Name], Tables!B43, AllDataApr[Longitude])</f>
        <v>-1.6719229615384612</v>
      </c>
      <c r="E43" s="14" t="s">
        <v>18</v>
      </c>
      <c r="F43" s="14" t="s">
        <v>188</v>
      </c>
      <c r="G43" s="30" t="s">
        <v>192</v>
      </c>
      <c r="H43" s="31">
        <f>COUNTIF(AllDataApr[Site Name], Tables!B43)</f>
        <v>26</v>
      </c>
      <c r="I43" s="32">
        <f t="shared" si="0"/>
        <v>3.1527777777777781</v>
      </c>
      <c r="J43" s="33">
        <f t="shared" si="1"/>
        <v>1.583939393939394</v>
      </c>
      <c r="K43" s="34" cm="1">
        <f t="array" ref="K43">SUM(COUNTIFS(AllDataApr[Site Name], B43, AllDataApr[Nitrate Pollution Category], {"High","Very high"}))/COUNTIFS(AllDataApr[Site Name], B43, AllDataApr[Nitrate (PPM)], "&lt;&gt;0")</f>
        <v>0.88461538461538458</v>
      </c>
      <c r="L43" s="34" cm="1">
        <f t="array" ref="L43">SUM(COUNTIFS(AllDataApr[Site Name], B43, AllDataApr[Phosphate Pollution Category], {"High","Very high"}))/COUNTIFS(AllDataApr[Site Name], B43, AllDataApr[Phosphate (PPM)], "&lt;&gt;0")</f>
        <v>1</v>
      </c>
      <c r="M43" s="35">
        <f t="shared" si="2"/>
        <v>36</v>
      </c>
      <c r="N43" s="35">
        <f t="shared" si="3"/>
        <v>1</v>
      </c>
      <c r="O43" s="31">
        <f>COUNTIFS(AllDataApr[Site Name], Tables!B43, AllDataApr[Season], "Summer")</f>
        <v>0</v>
      </c>
      <c r="P43" s="32" t="str">
        <f>IFERROR(AVERAGEIFS(AllDataApr[Nitrate (PPM)], AllDataApr[Site Name], B43, AllDataApr[Season], "Summer"), "")</f>
        <v/>
      </c>
      <c r="Q43" s="34" t="str">
        <f t="shared" si="12"/>
        <v/>
      </c>
      <c r="R43" s="33" t="str">
        <f>IFERROR(AVERAGEIFS(AllDataApr[Phosphate (PPM)], AllDataApr[Site Name], B43, AllDataApr[Season], "Summer"),"")</f>
        <v/>
      </c>
      <c r="S43" s="36" t="str">
        <f t="shared" si="13"/>
        <v/>
      </c>
      <c r="T43" s="35">
        <f>COUNTIFS(AllDataApr[Site Name], Tables!B43, AllDataApr[Season], "Autumn")</f>
        <v>3</v>
      </c>
      <c r="U43" s="32">
        <f>IFERROR(AVERAGEIFS(AllDataApr[Nitrate (PPM)], AllDataApr[Site Name], B43, AllDataApr[Season], "Autumn"), "")</f>
        <v>4.166666666666667</v>
      </c>
      <c r="V43" s="34">
        <f t="shared" si="6"/>
        <v>0.32158590308370039</v>
      </c>
      <c r="W43" s="33">
        <f>IFERROR(AVERAGEIFS(AllDataApr[Phosphate (PPM)], AllDataApr[Site Name], B43, AllDataApr[Season], "Autumn"), "")</f>
        <v>1.42</v>
      </c>
      <c r="X43" s="36">
        <f t="shared" si="7"/>
        <v>-0.10350105222881201</v>
      </c>
      <c r="Y43" s="35">
        <f>COUNTIFS(AllDataApr[Site Name], Tables!B43, AllDataApr[Season], "Winter")</f>
        <v>11</v>
      </c>
      <c r="Z43" s="32">
        <f>IFERROR(AVERAGEIFS(AllDataApr[Nitrate (PPM)], AllDataApr[Site Name], B43, AllDataApr[Season], "Winter"), "")</f>
        <v>3</v>
      </c>
      <c r="AA43" s="34">
        <f t="shared" si="8"/>
        <v>-4.8458149779735789E-2</v>
      </c>
      <c r="AB43" s="33">
        <f>IFERROR(AVERAGEIFS(AllDataApr[Phosphate (PPM)], AllDataApr[Site Name], B43, AllDataApr[Season], "Winter"),"")</f>
        <v>1.4618181818181817</v>
      </c>
      <c r="AC43" s="34">
        <f t="shared" si="9"/>
        <v>-7.7099674765640058E-2</v>
      </c>
      <c r="AD43" s="65">
        <f>COUNTIFS(AllDataApr[Site Name], Tables!B43, AllDataApr[Season], "Spring")</f>
        <v>12</v>
      </c>
      <c r="AE43" s="32">
        <f>IFERROR(AVERAGEIFS(AllDataApr[Nitrate (PPM)], AllDataApr[Site Name], B43, AllDataApr[Season], "Spring"), "")</f>
        <v>2.2916666666666665</v>
      </c>
      <c r="AF43" s="34">
        <f t="shared" si="10"/>
        <v>-0.27312775330396488</v>
      </c>
      <c r="AG43" s="33">
        <f>IFERROR(AVERAGEIFS(AllDataApr[Phosphate (PPM)], AllDataApr[Site Name], B43, AllDataApr[Season], "Spring"),"")</f>
        <v>1.87</v>
      </c>
      <c r="AH43" s="74">
        <f t="shared" si="11"/>
        <v>0.18060072699445193</v>
      </c>
    </row>
    <row r="44" spans="1:34" x14ac:dyDescent="0.3">
      <c r="A44" s="45"/>
      <c r="B44" s="14" t="s">
        <v>198</v>
      </c>
      <c r="C44" s="29">
        <f>AVERAGEIF(AllDataApr[Site Name], Tables!B44, AllDataApr[Latitude])</f>
        <v>52.046519461538452</v>
      </c>
      <c r="D44" s="29">
        <f>AVERAGEIF(AllDataApr[Site Name], Tables!B44, AllDataApr[Longitude])</f>
        <v>-1.673414153846154</v>
      </c>
      <c r="E44" s="14" t="s">
        <v>42</v>
      </c>
      <c r="F44" s="14" t="s">
        <v>188</v>
      </c>
      <c r="G44" s="30" t="s">
        <v>192</v>
      </c>
      <c r="H44" s="31">
        <f>COUNTIF(AllDataApr[Site Name], Tables!B44)</f>
        <v>26</v>
      </c>
      <c r="I44" s="32">
        <f t="shared" si="0"/>
        <v>2.1969696969696968</v>
      </c>
      <c r="J44" s="33">
        <f t="shared" si="1"/>
        <v>0.99075757575757584</v>
      </c>
      <c r="K44" s="34" cm="1">
        <f t="array" ref="K44">SUM(COUNTIFS(AllDataApr[Site Name], B44, AllDataApr[Nitrate Pollution Category], {"High","Very high"}))/COUNTIFS(AllDataApr[Site Name], B44, AllDataApr[Nitrate (PPM)], "&lt;&gt;0")</f>
        <v>0.80769230769230771</v>
      </c>
      <c r="L44" s="34" cm="1">
        <f t="array" ref="L44">SUM(COUNTIFS(AllDataApr[Site Name], B44, AllDataApr[Phosphate Pollution Category], {"High","Very high"}))/COUNTIFS(AllDataApr[Site Name], B44, AllDataApr[Phosphate (PPM)], "&lt;&gt;0")</f>
        <v>1</v>
      </c>
      <c r="M44" s="35">
        <f t="shared" si="2"/>
        <v>39</v>
      </c>
      <c r="N44" s="35">
        <f t="shared" si="3"/>
        <v>2</v>
      </c>
      <c r="O44" s="31">
        <f>COUNTIFS(AllDataApr[Site Name], Tables!B44, AllDataApr[Season], "Summer")</f>
        <v>0</v>
      </c>
      <c r="P44" s="32" t="str">
        <f>IFERROR(AVERAGEIFS(AllDataApr[Nitrate (PPM)], AllDataApr[Site Name], B44, AllDataApr[Season], "Summer"), "")</f>
        <v/>
      </c>
      <c r="Q44" s="34" t="str">
        <f t="shared" si="12"/>
        <v/>
      </c>
      <c r="R44" s="33" t="str">
        <f>IFERROR(AVERAGEIFS(AllDataApr[Phosphate (PPM)], AllDataApr[Site Name], B44, AllDataApr[Season], "Summer"),"")</f>
        <v/>
      </c>
      <c r="S44" s="36" t="str">
        <f t="shared" si="13"/>
        <v/>
      </c>
      <c r="T44" s="35">
        <f>COUNTIFS(AllDataApr[Site Name], Tables!B44, AllDataApr[Season], "Autumn")</f>
        <v>3</v>
      </c>
      <c r="U44" s="32">
        <f>IFERROR(AVERAGEIFS(AllDataApr[Nitrate (PPM)], AllDataApr[Site Name], B44, AllDataApr[Season], "Autumn"), "")</f>
        <v>3</v>
      </c>
      <c r="V44" s="34">
        <f t="shared" si="6"/>
        <v>0.36551724137931046</v>
      </c>
      <c r="W44" s="33">
        <f>IFERROR(AVERAGEIFS(AllDataApr[Phosphate (PPM)], AllDataApr[Site Name], B44, AllDataApr[Season], "Autumn"), "")</f>
        <v>0.60333333333333339</v>
      </c>
      <c r="X44" s="36">
        <f t="shared" si="7"/>
        <v>-0.39103838507417038</v>
      </c>
      <c r="Y44" s="35">
        <f>COUNTIFS(AllDataApr[Site Name], Tables!B44, AllDataApr[Season], "Winter")</f>
        <v>11</v>
      </c>
      <c r="Z44" s="32">
        <f>IFERROR(AVERAGEIFS(AllDataApr[Nitrate (PPM)], AllDataApr[Site Name], B44, AllDataApr[Season], "Winter"), "")</f>
        <v>2.0909090909090908</v>
      </c>
      <c r="AA44" s="34">
        <f t="shared" si="8"/>
        <v>-4.8275862068965475E-2</v>
      </c>
      <c r="AB44" s="33">
        <f>IFERROR(AVERAGEIFS(AllDataApr[Phosphate (PPM)], AllDataApr[Site Name], B44, AllDataApr[Season], "Winter"),"")</f>
        <v>0.91727272727272724</v>
      </c>
      <c r="AC44" s="34">
        <f t="shared" si="9"/>
        <v>-7.4170362440740281E-2</v>
      </c>
      <c r="AD44" s="65">
        <f>COUNTIFS(AllDataApr[Site Name], Tables!B44, AllDataApr[Season], "Spring")</f>
        <v>12</v>
      </c>
      <c r="AE44" s="32">
        <f>IFERROR(AVERAGEIFS(AllDataApr[Nitrate (PPM)], AllDataApr[Site Name], B44, AllDataApr[Season], "Spring"), "")</f>
        <v>1.5</v>
      </c>
      <c r="AF44" s="34">
        <f t="shared" si="10"/>
        <v>-0.3172413793103448</v>
      </c>
      <c r="AG44" s="33">
        <f>IFERROR(AVERAGEIFS(AllDataApr[Phosphate (PPM)], AllDataApr[Site Name], B44, AllDataApr[Season], "Spring"),"")</f>
        <v>1.4516666666666669</v>
      </c>
      <c r="AH44" s="74">
        <f t="shared" si="11"/>
        <v>0.46520874751491065</v>
      </c>
    </row>
    <row r="45" spans="1:34" x14ac:dyDescent="0.3">
      <c r="A45" s="45"/>
      <c r="B45" s="14" t="s">
        <v>918</v>
      </c>
      <c r="C45" s="29">
        <f>AVERAGEIF(AllDataApr[Site Name], Tables!B45, AllDataApr[Latitude])</f>
        <v>52.017437000000001</v>
      </c>
      <c r="D45" s="29">
        <f>AVERAGEIF(AllDataApr[Site Name], Tables!B45, AllDataApr[Longitude])</f>
        <v>-1.544745</v>
      </c>
      <c r="E45" s="14" t="s">
        <v>18</v>
      </c>
      <c r="F45" s="14" t="s">
        <v>188</v>
      </c>
      <c r="G45" s="30" t="s">
        <v>192</v>
      </c>
      <c r="H45" s="31">
        <f>COUNTIF(AllDataApr[Site Name], Tables!B45)</f>
        <v>6</v>
      </c>
      <c r="I45" s="32">
        <f t="shared" si="0"/>
        <v>2.6916666666666664</v>
      </c>
      <c r="J45" s="33">
        <f t="shared" si="1"/>
        <v>0.39166666666666666</v>
      </c>
      <c r="K45" s="34" cm="1">
        <f t="array" ref="K45">SUM(COUNTIFS(AllDataApr[Site Name], B45, AllDataApr[Nitrate Pollution Category], {"High","Very high"}))/COUNTIFS(AllDataApr[Site Name], B45, AllDataApr[Nitrate (PPM)], "&lt;&gt;0")</f>
        <v>1</v>
      </c>
      <c r="L45" s="34" cm="1">
        <f t="array" ref="L45">SUM(COUNTIFS(AllDataApr[Site Name], B45, AllDataApr[Phosphate Pollution Category], {"High","Very high"}))/COUNTIFS(AllDataApr[Site Name], B45, AllDataApr[Phosphate (PPM)], "&lt;&gt;0")</f>
        <v>1</v>
      </c>
      <c r="M45" s="35">
        <f t="shared" si="2"/>
        <v>37</v>
      </c>
      <c r="N45" s="35">
        <f t="shared" si="3"/>
        <v>32</v>
      </c>
      <c r="O45" s="31">
        <f>COUNTIFS(AllDataApr[Site Name], Tables!B45, AllDataApr[Season], "Summer")</f>
        <v>0</v>
      </c>
      <c r="P45" s="32" t="str">
        <f>IFERROR(AVERAGEIFS(AllDataApr[Nitrate (PPM)], AllDataApr[Site Name], B45, AllDataApr[Season], "Summer"), "")</f>
        <v/>
      </c>
      <c r="Q45" s="34" t="str">
        <f t="shared" si="12"/>
        <v/>
      </c>
      <c r="R45" s="33" t="str">
        <f>IFERROR(AVERAGEIFS(AllDataApr[Phosphate (PPM)], AllDataApr[Site Name], B45, AllDataApr[Season], "Summer"),"")</f>
        <v/>
      </c>
      <c r="S45" s="36" t="str">
        <f t="shared" si="13"/>
        <v/>
      </c>
      <c r="T45" s="35">
        <f>COUNTIFS(AllDataApr[Site Name], Tables!B45, AllDataApr[Season], "Autumn")</f>
        <v>0</v>
      </c>
      <c r="U45" s="32" t="str">
        <f>IFERROR(AVERAGEIFS(AllDataApr[Nitrate (PPM)], AllDataApr[Site Name], B45, AllDataApr[Season], "Autumn"), "")</f>
        <v/>
      </c>
      <c r="V45" s="34" t="str">
        <f t="shared" si="6"/>
        <v/>
      </c>
      <c r="W45" s="33" t="str">
        <f>IFERROR(AVERAGEIFS(AllDataApr[Phosphate (PPM)], AllDataApr[Site Name], B45, AllDataApr[Season], "Autumn"), "")</f>
        <v/>
      </c>
      <c r="X45" s="36" t="str">
        <f t="shared" si="7"/>
        <v/>
      </c>
      <c r="Y45" s="35">
        <f>COUNTIFS(AllDataApr[Site Name], Tables!B45, AllDataApr[Season], "Winter")</f>
        <v>0</v>
      </c>
      <c r="Z45" s="32" t="str">
        <f>IFERROR(AVERAGEIFS(AllDataApr[Nitrate (PPM)], AllDataApr[Site Name], B45, AllDataApr[Season], "Winter"), "")</f>
        <v/>
      </c>
      <c r="AA45" s="34" t="str">
        <f t="shared" si="8"/>
        <v/>
      </c>
      <c r="AB45" s="33" t="str">
        <f>IFERROR(AVERAGEIFS(AllDataApr[Phosphate (PPM)], AllDataApr[Site Name], B45, AllDataApr[Season], "Winter"),"")</f>
        <v/>
      </c>
      <c r="AC45" s="34" t="str">
        <f t="shared" si="9"/>
        <v/>
      </c>
      <c r="AD45" s="65">
        <f>COUNTIFS(AllDataApr[Site Name], Tables!B45, AllDataApr[Season], "Spring")</f>
        <v>6</v>
      </c>
      <c r="AE45" s="32">
        <f>IFERROR(AVERAGEIFS(AllDataApr[Nitrate (PPM)], AllDataApr[Site Name], B45, AllDataApr[Season], "Spring"), "")</f>
        <v>2.6916666666666664</v>
      </c>
      <c r="AF45" s="34">
        <f t="shared" si="10"/>
        <v>0</v>
      </c>
      <c r="AG45" s="33">
        <f>IFERROR(AVERAGEIFS(AllDataApr[Phosphate (PPM)], AllDataApr[Site Name], B45, AllDataApr[Season], "Spring"),"")</f>
        <v>0.39166666666666666</v>
      </c>
      <c r="AH45" s="74">
        <f t="shared" si="11"/>
        <v>0</v>
      </c>
    </row>
    <row r="46" spans="1:34" x14ac:dyDescent="0.3">
      <c r="A46" s="45"/>
      <c r="B46" s="14" t="s">
        <v>197</v>
      </c>
      <c r="C46" s="29">
        <f>AVERAGEIF(AllDataApr[Site Name], Tables!B46, AllDataApr[Latitude])</f>
        <v>52.052890578947363</v>
      </c>
      <c r="D46" s="29">
        <f>AVERAGEIF(AllDataApr[Site Name], Tables!B46, AllDataApr[Longitude])</f>
        <v>-1.6185327368421052</v>
      </c>
      <c r="E46" s="14"/>
      <c r="F46" s="14" t="s">
        <v>188</v>
      </c>
      <c r="G46" s="30" t="s">
        <v>192</v>
      </c>
      <c r="H46" s="31">
        <f>COUNTIF(AllDataApr[Site Name], Tables!B46)</f>
        <v>20</v>
      </c>
      <c r="I46" s="32">
        <f t="shared" si="0"/>
        <v>2.0417582417582416</v>
      </c>
      <c r="J46" s="33">
        <f t="shared" si="1"/>
        <v>0.21049450549450549</v>
      </c>
      <c r="K46" s="34" cm="1">
        <f t="array" ref="K46">SUM(COUNTIFS(AllDataApr[Site Name], B46, AllDataApr[Nitrate Pollution Category], {"High","Very high"}))/COUNTIFS(AllDataApr[Site Name], B46, AllDataApr[Nitrate (PPM)], "&lt;&gt;0")</f>
        <v>0.8</v>
      </c>
      <c r="L46" s="34" cm="1">
        <f t="array" ref="L46">SUM(COUNTIFS(AllDataApr[Site Name], B46, AllDataApr[Phosphate Pollution Category], {"High","Very high"}))/COUNTIFS(AllDataApr[Site Name], B46, AllDataApr[Phosphate (PPM)], "&lt;&gt;0")</f>
        <v>0.95</v>
      </c>
      <c r="M46" s="35">
        <f t="shared" si="2"/>
        <v>41</v>
      </c>
      <c r="N46" s="35">
        <f t="shared" si="3"/>
        <v>43</v>
      </c>
      <c r="O46" s="31">
        <f>COUNTIFS(AllDataApr[Site Name], Tables!B46, AllDataApr[Season], "Summer")</f>
        <v>0</v>
      </c>
      <c r="P46" s="32" t="str">
        <f>IFERROR(AVERAGEIFS(AllDataApr[Nitrate (PPM)], AllDataApr[Site Name], B46, AllDataApr[Season], "Summer"), "")</f>
        <v/>
      </c>
      <c r="Q46" s="34" t="str">
        <f t="shared" si="12"/>
        <v/>
      </c>
      <c r="R46" s="33" t="str">
        <f>IFERROR(AVERAGEIFS(AllDataApr[Phosphate (PPM)], AllDataApr[Site Name], B46, AllDataApr[Season], "Summer"),"")</f>
        <v/>
      </c>
      <c r="S46" s="36" t="str">
        <f t="shared" si="13"/>
        <v/>
      </c>
      <c r="T46" s="35">
        <f>COUNTIFS(AllDataApr[Site Name], Tables!B46, AllDataApr[Season], "Autumn")</f>
        <v>0</v>
      </c>
      <c r="U46" s="32" t="str">
        <f>IFERROR(AVERAGEIFS(AllDataApr[Nitrate (PPM)], AllDataApr[Site Name], B46, AllDataApr[Season], "Autumn"), "")</f>
        <v/>
      </c>
      <c r="V46" s="34" t="str">
        <f t="shared" si="6"/>
        <v/>
      </c>
      <c r="W46" s="33" t="str">
        <f>IFERROR(AVERAGEIFS(AllDataApr[Phosphate (PPM)], AllDataApr[Site Name], B46, AllDataApr[Season], "Autumn"), "")</f>
        <v/>
      </c>
      <c r="X46" s="36" t="str">
        <f t="shared" si="7"/>
        <v/>
      </c>
      <c r="Y46" s="35">
        <f>COUNTIFS(AllDataApr[Site Name], Tables!B46, AllDataApr[Season], "Winter")</f>
        <v>7</v>
      </c>
      <c r="Z46" s="32">
        <f>IFERROR(AVERAGEIFS(AllDataApr[Nitrate (PPM)], AllDataApr[Site Name], B46, AllDataApr[Season], "Winter"), "")</f>
        <v>1.3142857142857143</v>
      </c>
      <c r="AA46" s="34">
        <f t="shared" si="8"/>
        <v>-0.35629709364908502</v>
      </c>
      <c r="AB46" s="33">
        <f>IFERROR(AVERAGEIFS(AllDataApr[Phosphate (PPM)], AllDataApr[Site Name], B46, AllDataApr[Season], "Winter"),"")</f>
        <v>0.20714285714285713</v>
      </c>
      <c r="AC46" s="34">
        <f t="shared" si="9"/>
        <v>-1.5922735578178072E-2</v>
      </c>
      <c r="AD46" s="65">
        <f>COUNTIFS(AllDataApr[Site Name], Tables!B46, AllDataApr[Season], "Spring")</f>
        <v>13</v>
      </c>
      <c r="AE46" s="32">
        <f>IFERROR(AVERAGEIFS(AllDataApr[Nitrate (PPM)], AllDataApr[Site Name], B46, AllDataApr[Season], "Spring"), "")</f>
        <v>2.7692307692307692</v>
      </c>
      <c r="AF46" s="34">
        <f t="shared" si="10"/>
        <v>0.35629709364908513</v>
      </c>
      <c r="AG46" s="33">
        <f>IFERROR(AVERAGEIFS(AllDataApr[Phosphate (PPM)], AllDataApr[Site Name], B46, AllDataApr[Season], "Spring"),"")</f>
        <v>0.21384615384615382</v>
      </c>
      <c r="AH46" s="74">
        <f t="shared" si="11"/>
        <v>1.592273557817794E-2</v>
      </c>
    </row>
    <row r="47" spans="1:34" x14ac:dyDescent="0.3">
      <c r="A47" s="45"/>
      <c r="B47" s="14" t="s">
        <v>130</v>
      </c>
      <c r="C47" s="29">
        <f>AVERAGEIF(AllDataApr[Site Name], Tables!B47, AllDataApr[Latitude])</f>
        <v>52.206487689655184</v>
      </c>
      <c r="D47" s="29">
        <f>AVERAGEIF(AllDataApr[Site Name], Tables!B47, AllDataApr[Longitude])</f>
        <v>-1.6542550689655178</v>
      </c>
      <c r="E47" s="14" t="s">
        <v>18</v>
      </c>
      <c r="F47" s="14" t="s">
        <v>185</v>
      </c>
      <c r="G47" s="30" t="s">
        <v>191</v>
      </c>
      <c r="H47" s="31">
        <f>COUNTIF(AllDataApr[Site Name], Tables!B47)</f>
        <v>31</v>
      </c>
      <c r="I47" s="32">
        <f t="shared" si="0"/>
        <v>5.5457875457875465</v>
      </c>
      <c r="J47" s="33">
        <f t="shared" si="1"/>
        <v>0.51382783882783889</v>
      </c>
      <c r="K47" s="34" cm="1">
        <f t="array" ref="K47">SUM(COUNTIFS(AllDataApr[Site Name], B47, AllDataApr[Nitrate Pollution Category], {"High","Very high"}))/COUNTIFS(AllDataApr[Site Name], B47, AllDataApr[Nitrate (PPM)], "&lt;&gt;0")</f>
        <v>1</v>
      </c>
      <c r="L47" s="34" cm="1">
        <f t="array" ref="L47">SUM(COUNTIFS(AllDataApr[Site Name], B47, AllDataApr[Phosphate Pollution Category], {"High","Very high"}))/COUNTIFS(AllDataApr[Site Name], B47, AllDataApr[Phosphate (PPM)], "&lt;&gt;0")</f>
        <v>1</v>
      </c>
      <c r="M47" s="35">
        <f t="shared" si="2"/>
        <v>26</v>
      </c>
      <c r="N47" s="35">
        <f t="shared" si="3"/>
        <v>25</v>
      </c>
      <c r="O47" s="31">
        <f>COUNTIFS(AllDataApr[Site Name], Tables!B47, AllDataApr[Season], "Summer")</f>
        <v>0</v>
      </c>
      <c r="P47" s="32" t="str">
        <f>IFERROR(AVERAGEIFS(AllDataApr[Nitrate (PPM)], AllDataApr[Site Name], B47, AllDataApr[Season], "Summer"), "")</f>
        <v/>
      </c>
      <c r="Q47" s="34" t="str">
        <f t="shared" si="12"/>
        <v/>
      </c>
      <c r="R47" s="33" t="str">
        <f>IFERROR(AVERAGEIFS(AllDataApr[Phosphate (PPM)], AllDataApr[Site Name], B47, AllDataApr[Season], "Summer"),"")</f>
        <v/>
      </c>
      <c r="S47" s="36" t="str">
        <f t="shared" si="13"/>
        <v/>
      </c>
      <c r="T47" s="35">
        <f>COUNTIFS(AllDataApr[Site Name], Tables!B47, AllDataApr[Season], "Autumn")</f>
        <v>4</v>
      </c>
      <c r="U47" s="32">
        <f>IFERROR(AVERAGEIFS(AllDataApr[Nitrate (PPM)], AllDataApr[Site Name], B47, AllDataApr[Season], "Autumn"), "")</f>
        <v>5</v>
      </c>
      <c r="V47" s="34">
        <f t="shared" si="6"/>
        <v>-9.8414795244385844E-2</v>
      </c>
      <c r="W47" s="33">
        <f>IFERROR(AVERAGEIFS(AllDataApr[Phosphate (PPM)], AllDataApr[Site Name], B47, AllDataApr[Season], "Autumn"), "")</f>
        <v>0.51</v>
      </c>
      <c r="X47" s="36">
        <f t="shared" si="7"/>
        <v>-7.4496524683658125E-3</v>
      </c>
      <c r="Y47" s="35">
        <f>COUNTIFS(AllDataApr[Site Name], Tables!B47, AllDataApr[Season], "Winter")</f>
        <v>14</v>
      </c>
      <c r="Z47" s="32">
        <f>IFERROR(AVERAGEIFS(AllDataApr[Nitrate (PPM)], AllDataApr[Site Name], B47, AllDataApr[Season], "Winter"), "")</f>
        <v>4.7142857142857144</v>
      </c>
      <c r="AA47" s="34">
        <f t="shared" si="8"/>
        <v>-0.14993394980184949</v>
      </c>
      <c r="AB47" s="33">
        <f>IFERROR(AVERAGEIFS(AllDataApr[Phosphate (PPM)], AllDataApr[Site Name], B47, AllDataApr[Season], "Winter"),"")</f>
        <v>0.57071428571428584</v>
      </c>
      <c r="AC47" s="34">
        <f t="shared" si="9"/>
        <v>0.11071110319016229</v>
      </c>
      <c r="AD47" s="65">
        <f>COUNTIFS(AllDataApr[Site Name], Tables!B47, AllDataApr[Season], "Spring")</f>
        <v>13</v>
      </c>
      <c r="AE47" s="32">
        <f>IFERROR(AVERAGEIFS(AllDataApr[Nitrate (PPM)], AllDataApr[Site Name], B47, AllDataApr[Season], "Spring"), "")</f>
        <v>6.9230769230769234</v>
      </c>
      <c r="AF47" s="34">
        <f t="shared" si="10"/>
        <v>0.24834874504623503</v>
      </c>
      <c r="AG47" s="33">
        <f>IFERROR(AVERAGEIFS(AllDataApr[Phosphate (PPM)], AllDataApr[Site Name], B47, AllDataApr[Season], "Spring"),"")</f>
        <v>0.46076923076923076</v>
      </c>
      <c r="AH47" s="74">
        <f t="shared" si="11"/>
        <v>-0.10326145072179659</v>
      </c>
    </row>
    <row r="48" spans="1:34" x14ac:dyDescent="0.3">
      <c r="A48" s="45"/>
      <c r="B48" s="14" t="s">
        <v>193</v>
      </c>
      <c r="C48" s="29">
        <f>AVERAGEIF(AllDataApr[Site Name], Tables!B48, AllDataApr[Latitude])</f>
        <v>51.9885442</v>
      </c>
      <c r="D48" s="29">
        <f>AVERAGEIF(AllDataApr[Site Name], Tables!B48, AllDataApr[Longitude])</f>
        <v>-2.1639010000000001</v>
      </c>
      <c r="E48" s="14"/>
      <c r="F48" s="14" t="s">
        <v>187</v>
      </c>
      <c r="G48" s="30" t="s">
        <v>193</v>
      </c>
      <c r="H48" s="31">
        <f>COUNTIF(AllDataApr[Site Name], Tables!B48)</f>
        <v>43</v>
      </c>
      <c r="I48" s="32">
        <f t="shared" si="0"/>
        <v>5.1439102564102566</v>
      </c>
      <c r="J48" s="33">
        <f t="shared" si="1"/>
        <v>0.55222377622377627</v>
      </c>
      <c r="K48" s="34" cm="1">
        <f t="array" ref="K48">SUM(COUNTIFS(AllDataApr[Site Name], B48, AllDataApr[Nitrate Pollution Category], {"High","Very high"}))/COUNTIFS(AllDataApr[Site Name], B48, AllDataApr[Nitrate (PPM)], "&lt;&gt;0")</f>
        <v>1</v>
      </c>
      <c r="L48" s="34" cm="1">
        <f t="array" ref="L48">SUM(COUNTIFS(AllDataApr[Site Name], B48, AllDataApr[Phosphate Pollution Category], {"High","Very high"}))/COUNTIFS(AllDataApr[Site Name], B48, AllDataApr[Phosphate (PPM)], "&lt;&gt;0")</f>
        <v>0.97674418604651159</v>
      </c>
      <c r="M48" s="35">
        <f t="shared" si="2"/>
        <v>30</v>
      </c>
      <c r="N48" s="35">
        <f t="shared" si="3"/>
        <v>22</v>
      </c>
      <c r="O48" s="31">
        <f>COUNTIFS(AllDataApr[Site Name], Tables!B48, AllDataApr[Season], "Summer")</f>
        <v>5</v>
      </c>
      <c r="P48" s="32">
        <f>IFERROR(AVERAGEIFS(AllDataApr[Nitrate (PPM)], AllDataApr[Site Name], B48, AllDataApr[Season], "Summer"), "")</f>
        <v>7.8</v>
      </c>
      <c r="Q48" s="34">
        <f t="shared" si="12"/>
        <v>0.5163561592622592</v>
      </c>
      <c r="R48" s="33">
        <f>IFERROR(AVERAGEIFS(AllDataApr[Phosphate (PPM)], AllDataApr[Site Name], B48, AllDataApr[Season], "Summer"),"")</f>
        <v>0.754</v>
      </c>
      <c r="S48" s="36">
        <f t="shared" si="13"/>
        <v>0.36538851180224891</v>
      </c>
      <c r="T48" s="35">
        <f>COUNTIFS(AllDataApr[Site Name], Tables!B48, AllDataApr[Season], "Autumn")</f>
        <v>12</v>
      </c>
      <c r="U48" s="32">
        <f>IFERROR(AVERAGEIFS(AllDataApr[Nitrate (PPM)], AllDataApr[Site Name], B48, AllDataApr[Season], "Autumn"), "")</f>
        <v>5.083333333333333</v>
      </c>
      <c r="V48" s="34">
        <f t="shared" si="6"/>
        <v>-1.1776434668826805E-2</v>
      </c>
      <c r="W48" s="33">
        <f>IFERROR(AVERAGEIFS(AllDataApr[Phosphate (PPM)], AllDataApr[Site Name], B48, AllDataApr[Season], "Autumn"), "")</f>
        <v>0.60181818181818181</v>
      </c>
      <c r="X48" s="36">
        <f t="shared" si="7"/>
        <v>8.9808530037483417E-2</v>
      </c>
      <c r="Y48" s="35">
        <f>COUNTIFS(AllDataApr[Site Name], Tables!B48, AllDataApr[Season], "Winter")</f>
        <v>13</v>
      </c>
      <c r="Z48" s="32">
        <f>IFERROR(AVERAGEIFS(AllDataApr[Nitrate (PPM)], AllDataApr[Site Name], B48, AllDataApr[Season], "Winter"), "")</f>
        <v>3.7692307692307692</v>
      </c>
      <c r="AA48" s="34">
        <f t="shared" si="8"/>
        <v>-0.26724406505078202</v>
      </c>
      <c r="AB48" s="33">
        <f>IFERROR(AVERAGEIFS(AllDataApr[Phosphate (PPM)], AllDataApr[Site Name], B48, AllDataApr[Season], "Winter"),"")</f>
        <v>0.44307692307692303</v>
      </c>
      <c r="AC48" s="34">
        <f t="shared" si="9"/>
        <v>-0.19764968088339596</v>
      </c>
      <c r="AD48" s="65">
        <f>COUNTIFS(AllDataApr[Site Name], Tables!B48, AllDataApr[Season], "Spring")</f>
        <v>13</v>
      </c>
      <c r="AE48" s="32">
        <f>IFERROR(AVERAGEIFS(AllDataApr[Nitrate (PPM)], AllDataApr[Site Name], B48, AllDataApr[Season], "Spring"), "")</f>
        <v>3.9230769230769229</v>
      </c>
      <c r="AF48" s="34">
        <f t="shared" si="10"/>
        <v>-0.23733565954265068</v>
      </c>
      <c r="AG48" s="33">
        <f>IFERROR(AVERAGEIFS(AllDataApr[Phosphate (PPM)], AllDataApr[Site Name], B48, AllDataApr[Season], "Spring"),"")</f>
        <v>0.41000000000000003</v>
      </c>
      <c r="AH48" s="74">
        <f t="shared" si="11"/>
        <v>-0.25754736095633673</v>
      </c>
    </row>
    <row r="49" spans="1:34" x14ac:dyDescent="0.3">
      <c r="A49" s="45"/>
      <c r="B49" s="14" t="s">
        <v>56</v>
      </c>
      <c r="C49" s="29">
        <f>AVERAGEIF(AllDataApr[Site Name], Tables!B49, AllDataApr[Latitude])</f>
        <v>52.120947999999999</v>
      </c>
      <c r="D49" s="29">
        <f>AVERAGEIF(AllDataApr[Site Name], Tables!B49, AllDataApr[Longitude])</f>
        <v>-1.6505399999999999</v>
      </c>
      <c r="E49" s="14" t="s">
        <v>18</v>
      </c>
      <c r="F49" s="14" t="s">
        <v>185</v>
      </c>
      <c r="G49" s="30" t="s">
        <v>191</v>
      </c>
      <c r="H49" s="31">
        <f>COUNTIF(AllDataApr[Site Name], Tables!B49)</f>
        <v>1</v>
      </c>
      <c r="I49" s="32">
        <f t="shared" si="0"/>
        <v>10</v>
      </c>
      <c r="J49" s="33">
        <f t="shared" si="1"/>
        <v>0.33</v>
      </c>
      <c r="K49" s="34" cm="1">
        <f t="array" ref="K49">SUM(COUNTIFS(AllDataApr[Site Name], B49, AllDataApr[Nitrate Pollution Category], {"High","Very high"}))/COUNTIFS(AllDataApr[Site Name], B49, AllDataApr[Nitrate (PPM)], "&lt;&gt;0")</f>
        <v>1</v>
      </c>
      <c r="L49" s="34" cm="1">
        <f t="array" ref="L49">SUM(COUNTIFS(AllDataApr[Site Name], B49, AllDataApr[Phosphate Pollution Category], {"High","Very high"}))/COUNTIFS(AllDataApr[Site Name], B49, AllDataApr[Phosphate (PPM)], "&lt;&gt;0")</f>
        <v>1</v>
      </c>
      <c r="M49" s="35">
        <f t="shared" si="2"/>
        <v>4</v>
      </c>
      <c r="N49" s="35">
        <f t="shared" si="3"/>
        <v>37</v>
      </c>
      <c r="O49" s="31">
        <f>COUNTIFS(AllDataApr[Site Name], Tables!B49, AllDataApr[Season], "Summer")</f>
        <v>1</v>
      </c>
      <c r="P49" s="32">
        <f>IFERROR(AVERAGEIFS(AllDataApr[Nitrate (PPM)], AllDataApr[Site Name], B49, AllDataApr[Season], "Summer"), "")</f>
        <v>10</v>
      </c>
      <c r="Q49" s="34">
        <f t="shared" si="12"/>
        <v>0</v>
      </c>
      <c r="R49" s="33">
        <f>IFERROR(AVERAGEIFS(AllDataApr[Phosphate (PPM)], AllDataApr[Site Name], B49, AllDataApr[Season], "Summer"),"")</f>
        <v>0.33</v>
      </c>
      <c r="S49" s="36">
        <f t="shared" si="13"/>
        <v>0</v>
      </c>
      <c r="T49" s="35">
        <f>COUNTIFS(AllDataApr[Site Name], Tables!B49, AllDataApr[Season], "Autumn")</f>
        <v>0</v>
      </c>
      <c r="U49" s="32" t="str">
        <f>IFERROR(AVERAGEIFS(AllDataApr[Nitrate (PPM)], AllDataApr[Site Name], B49, AllDataApr[Season], "Autumn"), "")</f>
        <v/>
      </c>
      <c r="V49" s="34" t="str">
        <f t="shared" si="6"/>
        <v/>
      </c>
      <c r="W49" s="33" t="str">
        <f>IFERROR(AVERAGEIFS(AllDataApr[Phosphate (PPM)], AllDataApr[Site Name], B49, AllDataApr[Season], "Autumn"), "")</f>
        <v/>
      </c>
      <c r="X49" s="36" t="str">
        <f t="shared" si="7"/>
        <v/>
      </c>
      <c r="Y49" s="35">
        <f>COUNTIFS(AllDataApr[Site Name], Tables!B49, AllDataApr[Season], "Winter")</f>
        <v>0</v>
      </c>
      <c r="Z49" s="32" t="str">
        <f>IFERROR(AVERAGEIFS(AllDataApr[Nitrate (PPM)], AllDataApr[Site Name], B49, AllDataApr[Season], "Winter"), "")</f>
        <v/>
      </c>
      <c r="AA49" s="34" t="str">
        <f t="shared" si="8"/>
        <v/>
      </c>
      <c r="AB49" s="33" t="str">
        <f>IFERROR(AVERAGEIFS(AllDataApr[Phosphate (PPM)], AllDataApr[Site Name], B49, AllDataApr[Season], "Winter"),"")</f>
        <v/>
      </c>
      <c r="AC49" s="34" t="str">
        <f t="shared" si="9"/>
        <v/>
      </c>
      <c r="AD49" s="65">
        <f>COUNTIFS(AllDataApr[Site Name], Tables!B49, AllDataApr[Season], "Spring")</f>
        <v>0</v>
      </c>
      <c r="AE49" s="32" t="str">
        <f>IFERROR(AVERAGEIFS(AllDataApr[Nitrate (PPM)], AllDataApr[Site Name], B49, AllDataApr[Season], "Spring"), "")</f>
        <v/>
      </c>
      <c r="AF49" s="34" t="str">
        <f t="shared" si="10"/>
        <v/>
      </c>
      <c r="AG49" s="33" t="str">
        <f>IFERROR(AVERAGEIFS(AllDataApr[Phosphate (PPM)], AllDataApr[Site Name], B49, AllDataApr[Season], "Spring"),"")</f>
        <v/>
      </c>
      <c r="AH49" s="74" t="str">
        <f t="shared" si="11"/>
        <v/>
      </c>
    </row>
    <row r="50" spans="1:34" x14ac:dyDescent="0.3">
      <c r="A50" s="45"/>
      <c r="B50" s="14" t="s">
        <v>228</v>
      </c>
      <c r="C50" s="29">
        <f>AVERAGEIF(AllDataApr[Site Name], Tables!B50, AllDataApr[Latitude])</f>
        <v>52.260286399999998</v>
      </c>
      <c r="D50" s="29">
        <f>AVERAGEIF(AllDataApr[Site Name], Tables!B50, AllDataApr[Longitude])</f>
        <v>-1.7185790666666663</v>
      </c>
      <c r="E50" s="14" t="s">
        <v>18</v>
      </c>
      <c r="F50" s="14" t="s">
        <v>1036</v>
      </c>
      <c r="G50" s="30" t="s">
        <v>230</v>
      </c>
      <c r="H50" s="31">
        <f>COUNTIF(AllDataApr[Site Name], Tables!B50)</f>
        <v>15</v>
      </c>
      <c r="I50" s="32">
        <f t="shared" si="0"/>
        <v>4.0758928571428577</v>
      </c>
      <c r="J50" s="33">
        <f t="shared" si="1"/>
        <v>0.63767857142857143</v>
      </c>
      <c r="K50" s="34" cm="1">
        <f t="array" ref="K50">SUM(COUNTIFS(AllDataApr[Site Name], B50, AllDataApr[Nitrate Pollution Category], {"High","Very high"}))/COUNTIFS(AllDataApr[Site Name], B50, AllDataApr[Nitrate (PPM)], "&lt;&gt;0")</f>
        <v>0.8</v>
      </c>
      <c r="L50" s="34" cm="1">
        <f t="array" ref="L50">SUM(COUNTIFS(AllDataApr[Site Name], B50, AllDataApr[Phosphate Pollution Category], {"High","Very high"}))/COUNTIFS(AllDataApr[Site Name], B50, AllDataApr[Phosphate (PPM)], "&lt;&gt;0")</f>
        <v>1</v>
      </c>
      <c r="M50" s="35">
        <f t="shared" si="2"/>
        <v>33</v>
      </c>
      <c r="N50" s="35">
        <f t="shared" si="3"/>
        <v>9</v>
      </c>
      <c r="O50" s="31">
        <f>COUNTIFS(AllDataApr[Site Name], Tables!B50, AllDataApr[Season], "Summer")</f>
        <v>0</v>
      </c>
      <c r="P50" s="32" t="str">
        <f>IFERROR(AVERAGEIFS(AllDataApr[Nitrate (PPM)], AllDataApr[Site Name], B50, AllDataApr[Season], "Summer"), "")</f>
        <v/>
      </c>
      <c r="Q50" s="34" t="str">
        <f t="shared" si="12"/>
        <v/>
      </c>
      <c r="R50" s="33" t="str">
        <f>IFERROR(AVERAGEIFS(AllDataApr[Phosphate (PPM)], AllDataApr[Site Name], B50, AllDataApr[Season], "Summer"),"")</f>
        <v/>
      </c>
      <c r="S50" s="36" t="str">
        <f t="shared" si="13"/>
        <v/>
      </c>
      <c r="T50" s="35">
        <f>COUNTIFS(AllDataApr[Site Name], Tables!B50, AllDataApr[Season], "Autumn")</f>
        <v>0</v>
      </c>
      <c r="U50" s="32" t="str">
        <f>IFERROR(AVERAGEIFS(AllDataApr[Nitrate (PPM)], AllDataApr[Site Name], B50, AllDataApr[Season], "Autumn"), "")</f>
        <v/>
      </c>
      <c r="V50" s="34" t="str">
        <f t="shared" si="6"/>
        <v/>
      </c>
      <c r="W50" s="33" t="str">
        <f>IFERROR(AVERAGEIFS(AllDataApr[Phosphate (PPM)], AllDataApr[Site Name], B50, AllDataApr[Season], "Autumn"), "")</f>
        <v/>
      </c>
      <c r="X50" s="36" t="str">
        <f t="shared" si="7"/>
        <v/>
      </c>
      <c r="Y50" s="35">
        <f>COUNTIFS(AllDataApr[Site Name], Tables!B50, AllDataApr[Season], "Winter")</f>
        <v>7</v>
      </c>
      <c r="Z50" s="32">
        <f>IFERROR(AVERAGEIFS(AllDataApr[Nitrate (PPM)], AllDataApr[Site Name], B50, AllDataApr[Season], "Winter"), "")</f>
        <v>5.7142857142857144</v>
      </c>
      <c r="AA50" s="34">
        <f t="shared" si="8"/>
        <v>0.40197152245345003</v>
      </c>
      <c r="AB50" s="33">
        <f>IFERROR(AVERAGEIFS(AllDataApr[Phosphate (PPM)], AllDataApr[Site Name], B50, AllDataApr[Season], "Winter"),"")</f>
        <v>0.6328571428571429</v>
      </c>
      <c r="AC50" s="34">
        <f t="shared" si="9"/>
        <v>-7.5609073088770034E-3</v>
      </c>
      <c r="AD50" s="65">
        <f>COUNTIFS(AllDataApr[Site Name], Tables!B50, AllDataApr[Season], "Spring")</f>
        <v>8</v>
      </c>
      <c r="AE50" s="32">
        <f>IFERROR(AVERAGEIFS(AllDataApr[Nitrate (PPM)], AllDataApr[Site Name], B50, AllDataApr[Season], "Spring"), "")</f>
        <v>2.4375</v>
      </c>
      <c r="AF50" s="34">
        <f t="shared" si="10"/>
        <v>-0.40197152245345025</v>
      </c>
      <c r="AG50" s="33">
        <f>IFERROR(AVERAGEIFS(AllDataApr[Phosphate (PPM)], AllDataApr[Site Name], B50, AllDataApr[Season], "Spring"),"")</f>
        <v>0.64249999999999996</v>
      </c>
      <c r="AH50" s="74">
        <f t="shared" si="11"/>
        <v>7.5609073088770034E-3</v>
      </c>
    </row>
    <row r="51" spans="1:34" x14ac:dyDescent="0.3">
      <c r="A51" s="45"/>
      <c r="B51" s="14" t="s">
        <v>1033</v>
      </c>
      <c r="C51" s="29">
        <f>AVERAGEIF(AllDataApr[Site Name], Tables!B51, AllDataApr[Latitude])</f>
        <v>52.187393</v>
      </c>
      <c r="D51" s="29">
        <f>AVERAGEIF(AllDataApr[Site Name], Tables!B51, AllDataApr[Longitude])</f>
        <v>-1.706607</v>
      </c>
      <c r="E51" s="14"/>
      <c r="F51" s="14" t="s">
        <v>185</v>
      </c>
      <c r="G51" s="30" t="s">
        <v>191</v>
      </c>
      <c r="H51" s="31">
        <f>COUNTIF(AllDataApr[Site Name], Tables!B51)</f>
        <v>1</v>
      </c>
      <c r="I51" s="32">
        <f t="shared" si="0"/>
        <v>15</v>
      </c>
      <c r="J51" s="33">
        <f t="shared" si="1"/>
        <v>0.6</v>
      </c>
      <c r="K51" s="34" cm="1">
        <f t="array" ref="K51">SUM(COUNTIFS(AllDataApr[Site Name], B51, AllDataApr[Nitrate Pollution Category], {"High","Very high"}))/COUNTIFS(AllDataApr[Site Name], B51, AllDataApr[Nitrate (PPM)], "&lt;&gt;0")</f>
        <v>1</v>
      </c>
      <c r="L51" s="34" cm="1">
        <f t="array" ref="L51">SUM(COUNTIFS(AllDataApr[Site Name], B51, AllDataApr[Phosphate Pollution Category], {"High","Very high"}))/COUNTIFS(AllDataApr[Site Name], B51, AllDataApr[Phosphate (PPM)], "&lt;&gt;0")</f>
        <v>1</v>
      </c>
      <c r="M51" s="35">
        <f t="shared" si="2"/>
        <v>1</v>
      </c>
      <c r="N51" s="35">
        <f t="shared" si="3"/>
        <v>11</v>
      </c>
      <c r="O51" s="31">
        <f>COUNTIFS(AllDataApr[Site Name], Tables!B51, AllDataApr[Season], "Summer")</f>
        <v>0</v>
      </c>
      <c r="P51" s="32" t="str">
        <f>IFERROR(AVERAGEIFS(AllDataApr[Nitrate (PPM)], AllDataApr[Site Name], B51, AllDataApr[Season], "Summer"), "")</f>
        <v/>
      </c>
      <c r="Q51" s="34" t="str">
        <f t="shared" si="12"/>
        <v/>
      </c>
      <c r="R51" s="33" t="str">
        <f>IFERROR(AVERAGEIFS(AllDataApr[Phosphate (PPM)], AllDataApr[Site Name], B51, AllDataApr[Season], "Summer"),"")</f>
        <v/>
      </c>
      <c r="S51" s="36" t="str">
        <f t="shared" si="13"/>
        <v/>
      </c>
      <c r="T51" s="35">
        <f>COUNTIFS(AllDataApr[Site Name], Tables!B51, AllDataApr[Season], "Autumn")</f>
        <v>1</v>
      </c>
      <c r="U51" s="32">
        <f>IFERROR(AVERAGEIFS(AllDataApr[Nitrate (PPM)], AllDataApr[Site Name], B51, AllDataApr[Season], "Autumn"), "")</f>
        <v>15</v>
      </c>
      <c r="V51" s="34">
        <f t="shared" si="6"/>
        <v>0</v>
      </c>
      <c r="W51" s="33">
        <f>IFERROR(AVERAGEIFS(AllDataApr[Phosphate (PPM)], AllDataApr[Site Name], B51, AllDataApr[Season], "Autumn"), "")</f>
        <v>0.6</v>
      </c>
      <c r="X51" s="36">
        <f t="shared" si="7"/>
        <v>0</v>
      </c>
      <c r="Y51" s="35">
        <f>COUNTIFS(AllDataApr[Site Name], Tables!B51, AllDataApr[Season], "Winter")</f>
        <v>0</v>
      </c>
      <c r="Z51" s="32" t="str">
        <f>IFERROR(AVERAGEIFS(AllDataApr[Nitrate (PPM)], AllDataApr[Site Name], B51, AllDataApr[Season], "Winter"), "")</f>
        <v/>
      </c>
      <c r="AA51" s="34" t="str">
        <f t="shared" si="8"/>
        <v/>
      </c>
      <c r="AB51" s="33" t="str">
        <f>IFERROR(AVERAGEIFS(AllDataApr[Phosphate (PPM)], AllDataApr[Site Name], B51, AllDataApr[Season], "Winter"),"")</f>
        <v/>
      </c>
      <c r="AC51" s="34" t="str">
        <f t="shared" si="9"/>
        <v/>
      </c>
      <c r="AD51" s="65">
        <f>COUNTIFS(AllDataApr[Site Name], Tables!B51, AllDataApr[Season], "Spring")</f>
        <v>0</v>
      </c>
      <c r="AE51" s="32" t="str">
        <f>IFERROR(AVERAGEIFS(AllDataApr[Nitrate (PPM)], AllDataApr[Site Name], B51, AllDataApr[Season], "Spring"), "")</f>
        <v/>
      </c>
      <c r="AF51" s="34" t="str">
        <f t="shared" si="10"/>
        <v/>
      </c>
      <c r="AG51" s="33" t="str">
        <f>IFERROR(AVERAGEIFS(AllDataApr[Phosphate (PPM)], AllDataApr[Site Name], B51, AllDataApr[Season], "Spring"),"")</f>
        <v/>
      </c>
      <c r="AH51" s="74" t="str">
        <f t="shared" si="11"/>
        <v/>
      </c>
    </row>
    <row r="52" spans="1:34" x14ac:dyDescent="0.3">
      <c r="A52" s="45"/>
      <c r="B52" s="14" t="s">
        <v>32</v>
      </c>
      <c r="C52" s="29">
        <f>AVERAGEIF(AllDataApr[Site Name], Tables!B52, AllDataApr[Latitude])</f>
        <v>52.027183444444447</v>
      </c>
      <c r="D52" s="29">
        <f>AVERAGEIF(AllDataApr[Site Name], Tables!B52, AllDataApr[Longitude])</f>
        <v>-2.1406151111111114</v>
      </c>
      <c r="E52" s="14" t="s">
        <v>18</v>
      </c>
      <c r="F52" s="14" t="s">
        <v>187</v>
      </c>
      <c r="G52" s="30" t="s">
        <v>191</v>
      </c>
      <c r="H52" s="31">
        <f>COUNTIF(AllDataApr[Site Name], Tables!B52)</f>
        <v>9</v>
      </c>
      <c r="I52" s="32">
        <f t="shared" si="0"/>
        <v>7</v>
      </c>
      <c r="J52" s="33">
        <f t="shared" si="1"/>
        <v>0.94750000000000012</v>
      </c>
      <c r="K52" s="34" cm="1">
        <f t="array" ref="K52">SUM(COUNTIFS(AllDataApr[Site Name], B52, AllDataApr[Nitrate Pollution Category], {"High","Very high"}))/COUNTIFS(AllDataApr[Site Name], B52, AllDataApr[Nitrate (PPM)], "&lt;&gt;0")</f>
        <v>0.88888888888888884</v>
      </c>
      <c r="L52" s="34" cm="1">
        <f t="array" ref="L52">SUM(COUNTIFS(AllDataApr[Site Name], B52, AllDataApr[Phosphate Pollution Category], {"High","Very high"}))/COUNTIFS(AllDataApr[Site Name], B52, AllDataApr[Phosphate (PPM)], "&lt;&gt;0")</f>
        <v>1</v>
      </c>
      <c r="M52" s="35">
        <f t="shared" si="2"/>
        <v>14</v>
      </c>
      <c r="N52" s="35">
        <f t="shared" si="3"/>
        <v>3</v>
      </c>
      <c r="O52" s="31">
        <f>COUNTIFS(AllDataApr[Site Name], Tables!B52, AllDataApr[Season], "Summer")</f>
        <v>4</v>
      </c>
      <c r="P52" s="32">
        <f>IFERROR(AVERAGEIFS(AllDataApr[Nitrate (PPM)], AllDataApr[Site Name], B52, AllDataApr[Season], "Summer"), "")</f>
        <v>10</v>
      </c>
      <c r="Q52" s="34">
        <f t="shared" si="12"/>
        <v>0.42857142857142855</v>
      </c>
      <c r="R52" s="33">
        <f>IFERROR(AVERAGEIFS(AllDataApr[Phosphate (PPM)], AllDataApr[Site Name], B52, AllDataApr[Season], "Summer"),"")</f>
        <v>1.1000000000000001</v>
      </c>
      <c r="S52" s="36">
        <f t="shared" si="13"/>
        <v>0.16094986807387857</v>
      </c>
      <c r="T52" s="35">
        <f>COUNTIFS(AllDataApr[Site Name], Tables!B52, AllDataApr[Season], "Autumn")</f>
        <v>2</v>
      </c>
      <c r="U52" s="32">
        <f>IFERROR(AVERAGEIFS(AllDataApr[Nitrate (PPM)], AllDataApr[Site Name], B52, AllDataApr[Season], "Autumn"), "")</f>
        <v>10</v>
      </c>
      <c r="V52" s="34">
        <f t="shared" si="6"/>
        <v>0.42857142857142855</v>
      </c>
      <c r="W52" s="33">
        <f>IFERROR(AVERAGEIFS(AllDataApr[Phosphate (PPM)], AllDataApr[Site Name], B52, AllDataApr[Season], "Autumn"), "")</f>
        <v>1.135</v>
      </c>
      <c r="X52" s="36">
        <f t="shared" si="7"/>
        <v>0.19788918205804734</v>
      </c>
      <c r="Y52" s="35">
        <f>COUNTIFS(AllDataApr[Site Name], Tables!B52, AllDataApr[Season], "Winter")</f>
        <v>1</v>
      </c>
      <c r="Z52" s="32">
        <f>IFERROR(AVERAGEIFS(AllDataApr[Nitrate (PPM)], AllDataApr[Site Name], B52, AllDataApr[Season], "Winter"), "")</f>
        <v>3</v>
      </c>
      <c r="AA52" s="34">
        <f t="shared" si="8"/>
        <v>-0.5714285714285714</v>
      </c>
      <c r="AB52" s="33">
        <f>IFERROR(AVERAGEIFS(AllDataApr[Phosphate (PPM)], AllDataApr[Site Name], B52, AllDataApr[Season], "Winter"),"")</f>
        <v>0.68</v>
      </c>
      <c r="AC52" s="34">
        <f t="shared" si="9"/>
        <v>-0.2823218997361478</v>
      </c>
      <c r="AD52" s="65">
        <f>COUNTIFS(AllDataApr[Site Name], Tables!B52, AllDataApr[Season], "Spring")</f>
        <v>2</v>
      </c>
      <c r="AE52" s="32">
        <f>IFERROR(AVERAGEIFS(AllDataApr[Nitrate (PPM)], AllDataApr[Site Name], B52, AllDataApr[Season], "Spring"), "")</f>
        <v>5</v>
      </c>
      <c r="AF52" s="34">
        <f t="shared" si="10"/>
        <v>-0.2857142857142857</v>
      </c>
      <c r="AG52" s="33">
        <f>IFERROR(AVERAGEIFS(AllDataApr[Phosphate (PPM)], AllDataApr[Site Name], B52, AllDataApr[Season], "Spring"),"")</f>
        <v>0.875</v>
      </c>
      <c r="AH52" s="74">
        <f t="shared" si="11"/>
        <v>-7.6517150395778485E-2</v>
      </c>
    </row>
    <row r="53" spans="1:34" x14ac:dyDescent="0.3">
      <c r="A53" s="45"/>
      <c r="B53" s="14" t="s">
        <v>915</v>
      </c>
      <c r="C53" s="29">
        <f>AVERAGEIF(AllDataApr[Site Name], Tables!B53, AllDataApr[Latitude])</f>
        <v>52.13027842857143</v>
      </c>
      <c r="D53" s="29">
        <f>AVERAGEIF(AllDataApr[Site Name], Tables!B53, AllDataApr[Longitude])</f>
        <v>-2.078213857142857</v>
      </c>
      <c r="E53" s="14"/>
      <c r="F53" s="14" t="s">
        <v>1035</v>
      </c>
      <c r="G53" s="30" t="s">
        <v>1040</v>
      </c>
      <c r="H53" s="31">
        <f>COUNTIF(AllDataApr[Site Name], Tables!B53)</f>
        <v>7</v>
      </c>
      <c r="I53" s="32">
        <f t="shared" si="0"/>
        <v>5</v>
      </c>
      <c r="J53" s="33">
        <f t="shared" si="1"/>
        <v>0.81571428571428573</v>
      </c>
      <c r="K53" s="34" cm="1">
        <f t="array" ref="K53">SUM(COUNTIFS(AllDataApr[Site Name], B53, AllDataApr[Nitrate Pollution Category], {"High","Very high"}))/COUNTIFS(AllDataApr[Site Name], B53, AllDataApr[Nitrate (PPM)], "&lt;&gt;0")</f>
        <v>1</v>
      </c>
      <c r="L53" s="34" cm="1">
        <f t="array" ref="L53">SUM(COUNTIFS(AllDataApr[Site Name], B53, AllDataApr[Phosphate Pollution Category], {"High","Very high"}))/COUNTIFS(AllDataApr[Site Name], B53, AllDataApr[Phosphate (PPM)], "&lt;&gt;0")</f>
        <v>1</v>
      </c>
      <c r="M53" s="35">
        <f t="shared" si="2"/>
        <v>31</v>
      </c>
      <c r="N53" s="35">
        <f t="shared" si="3"/>
        <v>4</v>
      </c>
      <c r="O53" s="31">
        <f>COUNTIFS(AllDataApr[Site Name], Tables!B53, AllDataApr[Season], "Summer")</f>
        <v>0</v>
      </c>
      <c r="P53" s="32" t="str">
        <f>IFERROR(AVERAGEIFS(AllDataApr[Nitrate (PPM)], AllDataApr[Site Name], B53, AllDataApr[Season], "Summer"), "")</f>
        <v/>
      </c>
      <c r="Q53" s="34" t="str">
        <f t="shared" si="12"/>
        <v/>
      </c>
      <c r="R53" s="33" t="str">
        <f>IFERROR(AVERAGEIFS(AllDataApr[Phosphate (PPM)], AllDataApr[Site Name], B53, AllDataApr[Season], "Summer"),"")</f>
        <v/>
      </c>
      <c r="S53" s="36" t="str">
        <f t="shared" si="13"/>
        <v/>
      </c>
      <c r="T53" s="35">
        <f>COUNTIFS(AllDataApr[Site Name], Tables!B53, AllDataApr[Season], "Autumn")</f>
        <v>0</v>
      </c>
      <c r="U53" s="32" t="str">
        <f>IFERROR(AVERAGEIFS(AllDataApr[Nitrate (PPM)], AllDataApr[Site Name], B53, AllDataApr[Season], "Autumn"), "")</f>
        <v/>
      </c>
      <c r="V53" s="34" t="str">
        <f t="shared" si="6"/>
        <v/>
      </c>
      <c r="W53" s="33" t="str">
        <f>IFERROR(AVERAGEIFS(AllDataApr[Phosphate (PPM)], AllDataApr[Site Name], B53, AllDataApr[Season], "Autumn"), "")</f>
        <v/>
      </c>
      <c r="X53" s="36" t="str">
        <f t="shared" si="7"/>
        <v/>
      </c>
      <c r="Y53" s="35">
        <f>COUNTIFS(AllDataApr[Site Name], Tables!B53, AllDataApr[Season], "Winter")</f>
        <v>0</v>
      </c>
      <c r="Z53" s="32" t="str">
        <f>IFERROR(AVERAGEIFS(AllDataApr[Nitrate (PPM)], AllDataApr[Site Name], B53, AllDataApr[Season], "Winter"), "")</f>
        <v/>
      </c>
      <c r="AA53" s="34" t="str">
        <f t="shared" si="8"/>
        <v/>
      </c>
      <c r="AB53" s="33" t="str">
        <f>IFERROR(AVERAGEIFS(AllDataApr[Phosphate (PPM)], AllDataApr[Site Name], B53, AllDataApr[Season], "Winter"),"")</f>
        <v/>
      </c>
      <c r="AC53" s="34" t="str">
        <f t="shared" si="9"/>
        <v/>
      </c>
      <c r="AD53" s="65">
        <f>COUNTIFS(AllDataApr[Site Name], Tables!B53, AllDataApr[Season], "Spring")</f>
        <v>7</v>
      </c>
      <c r="AE53" s="32">
        <f>IFERROR(AVERAGEIFS(AllDataApr[Nitrate (PPM)], AllDataApr[Site Name], B53, AllDataApr[Season], "Spring"), "")</f>
        <v>5</v>
      </c>
      <c r="AF53" s="34">
        <f t="shared" si="10"/>
        <v>0</v>
      </c>
      <c r="AG53" s="33">
        <f>IFERROR(AVERAGEIFS(AllDataApr[Phosphate (PPM)], AllDataApr[Site Name], B53, AllDataApr[Season], "Spring"),"")</f>
        <v>0.81571428571428573</v>
      </c>
      <c r="AH53" s="74">
        <f t="shared" si="11"/>
        <v>0</v>
      </c>
    </row>
    <row r="54" spans="1:34" x14ac:dyDescent="0.3">
      <c r="A54" s="45"/>
      <c r="B54" s="14" t="s">
        <v>22</v>
      </c>
      <c r="C54" s="29">
        <f>AVERAGEIF(AllDataApr[Site Name], Tables!B54, AllDataApr[Latitude])</f>
        <v>52.175174684210546</v>
      </c>
      <c r="D54" s="29">
        <f>AVERAGEIF(AllDataApr[Site Name], Tables!B54, AllDataApr[Longitude])</f>
        <v>-1.7918551052631577</v>
      </c>
      <c r="E54" s="14" t="s">
        <v>18</v>
      </c>
      <c r="F54" s="14" t="s">
        <v>185</v>
      </c>
      <c r="G54" s="30" t="s">
        <v>191</v>
      </c>
      <c r="H54" s="31">
        <f>COUNTIF(AllDataApr[Site Name], Tables!B54)</f>
        <v>19</v>
      </c>
      <c r="I54" s="32">
        <f t="shared" si="0"/>
        <v>10.042328042328043</v>
      </c>
      <c r="J54" s="33">
        <f t="shared" si="1"/>
        <v>0.51253968253968252</v>
      </c>
      <c r="K54" s="34" cm="1">
        <f t="array" ref="K54">SUM(COUNTIFS(AllDataApr[Site Name], B54, AllDataApr[Nitrate Pollution Category], {"High","Very high"}))/COUNTIFS(AllDataApr[Site Name], B54, AllDataApr[Nitrate (PPM)], "&lt;&gt;0")</f>
        <v>1</v>
      </c>
      <c r="L54" s="34" cm="1">
        <f t="array" ref="L54">SUM(COUNTIFS(AllDataApr[Site Name], B54, AllDataApr[Phosphate Pollution Category], {"High","Very high"}))/COUNTIFS(AllDataApr[Site Name], B54, AllDataApr[Phosphate (PPM)], "&lt;&gt;0")</f>
        <v>1</v>
      </c>
      <c r="M54" s="35">
        <f t="shared" si="2"/>
        <v>3</v>
      </c>
      <c r="N54" s="35">
        <f t="shared" si="3"/>
        <v>26</v>
      </c>
      <c r="O54" s="31">
        <f>COUNTIFS(AllDataApr[Site Name], Tables!B54, AllDataApr[Season], "Summer")</f>
        <v>7</v>
      </c>
      <c r="P54" s="32">
        <f>IFERROR(AVERAGEIFS(AllDataApr[Nitrate (PPM)], AllDataApr[Site Name], B54, AllDataApr[Season], "Summer"), "")</f>
        <v>6.5714285714285712</v>
      </c>
      <c r="Q54" s="34">
        <f t="shared" si="12"/>
        <v>-0.34562697576396212</v>
      </c>
      <c r="R54" s="33">
        <f>IFERROR(AVERAGEIFS(AllDataApr[Phosphate (PPM)], AllDataApr[Site Name], B54, AllDataApr[Season], "Summer"),"")</f>
        <v>0.56428571428571428</v>
      </c>
      <c r="S54" s="36">
        <f t="shared" si="13"/>
        <v>0.10096004955094461</v>
      </c>
      <c r="T54" s="35">
        <f>COUNTIFS(AllDataApr[Site Name], Tables!B54, AllDataApr[Season], "Autumn")</f>
        <v>9</v>
      </c>
      <c r="U54" s="32">
        <f>IFERROR(AVERAGEIFS(AllDataApr[Nitrate (PPM)], AllDataApr[Site Name], B54, AllDataApr[Season], "Autumn"), "")</f>
        <v>6.8888888888888893</v>
      </c>
      <c r="V54" s="34">
        <f t="shared" si="6"/>
        <v>-0.31401475237091675</v>
      </c>
      <c r="W54" s="33">
        <f>IFERROR(AVERAGEIFS(AllDataApr[Phosphate (PPM)], AllDataApr[Site Name], B54, AllDataApr[Season], "Autumn"), "")</f>
        <v>0.52999999999999992</v>
      </c>
      <c r="X54" s="36">
        <f t="shared" si="7"/>
        <v>3.4066274388355411E-2</v>
      </c>
      <c r="Y54" s="35">
        <f>COUNTIFS(AllDataApr[Site Name], Tables!B54, AllDataApr[Season], "Winter")</f>
        <v>3</v>
      </c>
      <c r="Z54" s="32">
        <f>IFERROR(AVERAGEIFS(AllDataApr[Nitrate (PPM)], AllDataApr[Site Name], B54, AllDataApr[Season], "Winter"), "")</f>
        <v>16.666666666666668</v>
      </c>
      <c r="AA54" s="34">
        <f t="shared" si="8"/>
        <v>0.65964172813487887</v>
      </c>
      <c r="AB54" s="33">
        <f>IFERROR(AVERAGEIFS(AllDataApr[Phosphate (PPM)], AllDataApr[Site Name], B54, AllDataApr[Season], "Winter"),"")</f>
        <v>0.44333333333333336</v>
      </c>
      <c r="AC54" s="34">
        <f t="shared" si="9"/>
        <v>-0.1350263239393</v>
      </c>
      <c r="AD54" s="65">
        <f>COUNTIFS(AllDataApr[Site Name], Tables!B54, AllDataApr[Season], "Spring")</f>
        <v>0</v>
      </c>
      <c r="AE54" s="32" t="str">
        <f>IFERROR(AVERAGEIFS(AllDataApr[Nitrate (PPM)], AllDataApr[Site Name], B54, AllDataApr[Season], "Spring"), "")</f>
        <v/>
      </c>
      <c r="AF54" s="34" t="str">
        <f t="shared" si="10"/>
        <v/>
      </c>
      <c r="AG54" s="33" t="str">
        <f>IFERROR(AVERAGEIFS(AllDataApr[Phosphate (PPM)], AllDataApr[Site Name], B54, AllDataApr[Season], "Spring"),"")</f>
        <v/>
      </c>
      <c r="AH54" s="74" t="str">
        <f t="shared" si="11"/>
        <v/>
      </c>
    </row>
    <row r="55" spans="1:34" ht="15" thickBot="1" x14ac:dyDescent="0.35">
      <c r="A55" s="45"/>
      <c r="B55" s="148" t="s">
        <v>1031</v>
      </c>
      <c r="C55" s="149">
        <f>AVERAGEIF(AllDataApr[Site Name], Tables!B55, AllDataApr[Latitude])</f>
        <v>52.167429999999996</v>
      </c>
      <c r="D55" s="149">
        <f>AVERAGEIF(AllDataApr[Site Name], Tables!B55, AllDataApr[Longitude])</f>
        <v>-1.7744752941176474</v>
      </c>
      <c r="E55" s="37" t="s">
        <v>18</v>
      </c>
      <c r="F55" s="37" t="s">
        <v>185</v>
      </c>
      <c r="G55" s="38" t="s">
        <v>191</v>
      </c>
      <c r="H55" s="39">
        <f>COUNTIF(AllDataApr[Site Name], Tables!B55)</f>
        <v>17</v>
      </c>
      <c r="I55" s="44">
        <f t="shared" si="0"/>
        <v>5.8740740740740742</v>
      </c>
      <c r="J55" s="40">
        <f t="shared" si="1"/>
        <v>0.58770370370370373</v>
      </c>
      <c r="K55" s="41" cm="1">
        <f t="array" ref="K55">SUM(COUNTIFS(AllDataApr[Site Name], B55, AllDataApr[Nitrate Pollution Category], {"High","Very high"}))/COUNTIFS(AllDataApr[Site Name], B55, AllDataApr[Nitrate (PPM)], "&lt;&gt;0")</f>
        <v>1</v>
      </c>
      <c r="L55" s="41" cm="1">
        <f t="array" ref="L55">SUM(COUNTIFS(AllDataApr[Site Name], B55, AllDataApr[Phosphate Pollution Category], {"High","Very high"}))/COUNTIFS(AllDataApr[Site Name], B55, AllDataApr[Phosphate (PPM)], "&lt;&gt;0")</f>
        <v>1</v>
      </c>
      <c r="M55" s="42">
        <f t="shared" si="2"/>
        <v>22</v>
      </c>
      <c r="N55" s="43">
        <f t="shared" si="3"/>
        <v>14</v>
      </c>
      <c r="O55" s="39">
        <f>COUNTIFS(AllDataApr[Site Name], Tables!B55, AllDataApr[Season], "Summer")</f>
        <v>5</v>
      </c>
      <c r="P55" s="44">
        <f>IFERROR(AVERAGEIFS(AllDataApr[Nitrate (PPM)], AllDataApr[Site Name], B55, AllDataApr[Season], "Summer"), "")</f>
        <v>4.4000000000000004</v>
      </c>
      <c r="Q55" s="41">
        <f t="shared" si="12"/>
        <v>-0.25094577553593944</v>
      </c>
      <c r="R55" s="40">
        <f>IFERROR(AVERAGEIFS(AllDataApr[Phosphate (PPM)], AllDataApr[Site Name], B55, AllDataApr[Season], "Summer"),"")</f>
        <v>0.79200000000000004</v>
      </c>
      <c r="S55" s="150">
        <f t="shared" si="13"/>
        <v>0.34761784723972777</v>
      </c>
      <c r="T55" s="42">
        <f>COUNTIFS(AllDataApr[Site Name], Tables!B55, AllDataApr[Season], "Autumn")</f>
        <v>9</v>
      </c>
      <c r="U55" s="44">
        <f>IFERROR(AVERAGEIFS(AllDataApr[Nitrate (PPM)], AllDataApr[Site Name], B55, AllDataApr[Season], "Autumn"), "")</f>
        <v>5.2222222222222223</v>
      </c>
      <c r="V55" s="41">
        <f t="shared" si="6"/>
        <v>-0.11097099621689786</v>
      </c>
      <c r="W55" s="40">
        <f>IFERROR(AVERAGEIFS(AllDataApr[Phosphate (PPM)], AllDataApr[Site Name], B55, AllDataApr[Season], "Autumn"), "")</f>
        <v>0.55111111111111122</v>
      </c>
      <c r="X55" s="150">
        <f t="shared" si="7"/>
        <v>-6.2263675321401417E-2</v>
      </c>
      <c r="Y55" s="71">
        <f>COUNTIFS(AllDataApr[Site Name], Tables!B55, AllDataApr[Season], "Winter")</f>
        <v>3</v>
      </c>
      <c r="Z55" s="44">
        <f>IFERROR(AVERAGEIFS(AllDataApr[Nitrate (PPM)], AllDataApr[Site Name], B55, AllDataApr[Season], "Winter"), "")</f>
        <v>8</v>
      </c>
      <c r="AA55" s="41">
        <f t="shared" si="8"/>
        <v>0.36191677175283732</v>
      </c>
      <c r="AB55" s="40">
        <f>IFERROR(AVERAGEIFS(AllDataApr[Phosphate (PPM)], AllDataApr[Site Name], B55, AllDataApr[Season], "Winter"),"")</f>
        <v>0.42</v>
      </c>
      <c r="AC55" s="72">
        <f t="shared" si="9"/>
        <v>-0.28535417191832624</v>
      </c>
      <c r="AD55" s="151">
        <f>COUNTIFS(AllDataApr[Site Name], Tables!B55, AllDataApr[Season], "Spring")</f>
        <v>0</v>
      </c>
      <c r="AE55" s="44" t="str">
        <f>IFERROR(AVERAGEIFS(AllDataApr[Nitrate (PPM)], AllDataApr[Site Name], B55, AllDataApr[Season], "Spring"), "")</f>
        <v/>
      </c>
      <c r="AF55" s="41" t="str">
        <f t="shared" si="10"/>
        <v/>
      </c>
      <c r="AG55" s="40" t="str">
        <f>IFERROR(AVERAGEIFS(AllDataApr[Phosphate (PPM)], AllDataApr[Site Name], B55, AllDataApr[Season], "Spring"),"")</f>
        <v/>
      </c>
      <c r="AH55" s="72" t="str">
        <f t="shared" si="11"/>
        <v/>
      </c>
    </row>
    <row r="56" spans="1:34" ht="15" hidden="1" thickBot="1" x14ac:dyDescent="0.35">
      <c r="A56" s="45"/>
      <c r="C56" s="3"/>
      <c r="D56" s="3"/>
      <c r="G56" s="45"/>
      <c r="H56" s="46"/>
      <c r="I56" s="47"/>
      <c r="J56" s="48"/>
      <c r="K56" s="48"/>
      <c r="L56" s="48"/>
      <c r="M56" s="49"/>
      <c r="N56" s="49"/>
      <c r="O56" s="46"/>
      <c r="P56" s="50"/>
      <c r="Q56" s="47"/>
      <c r="R56" s="48"/>
      <c r="S56" s="51"/>
      <c r="T56" s="49"/>
      <c r="U56" s="50"/>
      <c r="V56" s="47"/>
      <c r="W56" s="48"/>
      <c r="X56" s="51"/>
      <c r="Y56" s="49"/>
      <c r="Z56" s="50"/>
      <c r="AA56" s="47"/>
      <c r="AB56" s="48"/>
      <c r="AC56" s="48"/>
      <c r="AD56" s="52"/>
      <c r="AE56" s="49"/>
      <c r="AF56" s="49"/>
      <c r="AG56" s="49"/>
      <c r="AH56" s="53"/>
    </row>
    <row r="57" spans="1:34" s="63" customFormat="1" ht="21.6" thickTop="1" thickBot="1" x14ac:dyDescent="0.35">
      <c r="A57" s="76"/>
      <c r="B57" s="57" t="s">
        <v>1061</v>
      </c>
      <c r="C57" s="57">
        <f>COUNTA(B12:B55)</f>
        <v>44</v>
      </c>
      <c r="D57" s="57" t="s">
        <v>1080</v>
      </c>
      <c r="E57" s="168" t="s">
        <v>1081</v>
      </c>
      <c r="F57" s="58"/>
      <c r="G57" s="59"/>
      <c r="H57" s="60">
        <f>SUM(H12:H55)</f>
        <v>736</v>
      </c>
      <c r="I57" s="55">
        <f>AVERAGE(I12:I55)</f>
        <v>5.8171044953573352</v>
      </c>
      <c r="J57" s="56">
        <f>AVERAGE(J12:J55)</f>
        <v>0.53764189924133121</v>
      </c>
      <c r="K57" s="68" cm="1">
        <f t="array" ref="K57">SUM(COUNTIF(AllDataApr[Nitrate Pollution Category], {"High","Very high"}))/COUNTA(AllDataApr[Nitrate (PPM)])</f>
        <v>0.97404371584699456</v>
      </c>
      <c r="L57" s="61" cm="1">
        <f t="array" ref="L57">SUM(COUNTIF(AllDataApr[Phosphate Pollution Category], {"High","Very high"}))/COUNTA(AllDataApr[Phosphate (PPM)])</f>
        <v>0.99319727891156462</v>
      </c>
      <c r="M57" s="56"/>
      <c r="N57" s="56"/>
      <c r="O57" s="66">
        <f>COUNTIF(AllDataApr[Season], "Summer")</f>
        <v>65</v>
      </c>
      <c r="P57" s="55">
        <f>AVERAGE(P12:P55)</f>
        <v>7.016326530612246</v>
      </c>
      <c r="Q57" s="68">
        <f>(P57-I57)/I57</f>
        <v>0.20615445987123265</v>
      </c>
      <c r="R57" s="56">
        <f>AVERAGE(R12:R55)</f>
        <v>0.67953061224489797</v>
      </c>
      <c r="S57" s="70">
        <f>(R57-J57)/J57</f>
        <v>0.26390932924644922</v>
      </c>
      <c r="T57" s="66">
        <f>COUNTIF(AllDataApr[Season], "Autumn")</f>
        <v>158</v>
      </c>
      <c r="U57" s="55">
        <f>AVERAGE(U12:U55)</f>
        <v>6.5158934319648605</v>
      </c>
      <c r="V57" s="68">
        <f>(U57-I57)/I57</f>
        <v>0.12012659170300839</v>
      </c>
      <c r="W57" s="56">
        <f>AVERAGE(W12:W55)</f>
        <v>0.61214148225511866</v>
      </c>
      <c r="X57" s="70">
        <f>(W57-J57)/J57</f>
        <v>0.13856729380450841</v>
      </c>
      <c r="Y57" s="62">
        <f>COUNTIF(AllDataApr[Season], "Winter")</f>
        <v>224</v>
      </c>
      <c r="Z57" s="55">
        <f>AVERAGE(Z12:Z55)</f>
        <v>5.9370004995004999</v>
      </c>
      <c r="AA57" s="61">
        <f>(Z57-I57)/I57</f>
        <v>2.0610942134330644E-2</v>
      </c>
      <c r="AB57" s="56">
        <f>AVERAGE(AB12:AB55)</f>
        <v>0.51104332283877751</v>
      </c>
      <c r="AC57" s="61">
        <f>(AB57-J57)/J57</f>
        <v>-4.9472662826478116E-2</v>
      </c>
      <c r="AD57" s="66">
        <f>COUNTIF(AllDataApr[Season], "Spring")</f>
        <v>289</v>
      </c>
      <c r="AE57" s="55">
        <f>AVERAGE(AE12:AE55)</f>
        <v>5.1439472940254189</v>
      </c>
      <c r="AF57" s="68">
        <f>(AE57-I57)/I57</f>
        <v>-0.11572032131607175</v>
      </c>
      <c r="AG57" s="56">
        <f>AVERAGE(AG12:AG55)</f>
        <v>0.55506490384615381</v>
      </c>
      <c r="AH57" s="75">
        <f>(AG57-J57)/J57</f>
        <v>3.240633706079879E-2</v>
      </c>
    </row>
    <row r="58" spans="1:34" s="63" customFormat="1" ht="20.399999999999999" x14ac:dyDescent="0.3">
      <c r="E58" s="169"/>
      <c r="H58" s="77"/>
      <c r="I58" s="78"/>
      <c r="J58" s="79"/>
      <c r="K58" s="81"/>
      <c r="L58" s="81"/>
      <c r="M58" s="79"/>
      <c r="N58" s="79"/>
      <c r="O58" s="77"/>
      <c r="P58" s="78"/>
      <c r="Q58" s="81"/>
      <c r="R58" s="79"/>
      <c r="S58" s="81"/>
      <c r="T58" s="77"/>
      <c r="U58" s="78"/>
      <c r="V58" s="81"/>
      <c r="W58" s="79"/>
      <c r="X58" s="81"/>
      <c r="Y58" s="77"/>
      <c r="Z58" s="78"/>
      <c r="AA58" s="81"/>
      <c r="AB58" s="79"/>
      <c r="AC58" s="81"/>
      <c r="AD58" s="77"/>
      <c r="AE58" s="78"/>
      <c r="AF58" s="81"/>
      <c r="AG58" s="79"/>
      <c r="AH58" s="81"/>
    </row>
    <row r="59" spans="1:34" s="63" customFormat="1" ht="21" thickBot="1" x14ac:dyDescent="0.35">
      <c r="H59" s="77"/>
      <c r="I59" s="78"/>
      <c r="J59" s="79"/>
      <c r="K59" s="80"/>
      <c r="L59" s="80"/>
      <c r="M59" s="79"/>
      <c r="N59" s="79"/>
      <c r="O59" s="77"/>
      <c r="P59" s="78"/>
      <c r="Q59" s="81"/>
      <c r="R59" s="79"/>
      <c r="S59" s="81"/>
      <c r="T59" s="77"/>
      <c r="U59" s="78"/>
      <c r="V59" s="81"/>
      <c r="W59" s="79"/>
      <c r="X59" s="81"/>
      <c r="Y59" s="77"/>
      <c r="Z59" s="78"/>
      <c r="AA59" s="81"/>
      <c r="AB59" s="79"/>
      <c r="AC59" s="81"/>
      <c r="AD59" s="77"/>
      <c r="AE59" s="78"/>
      <c r="AF59" s="81"/>
      <c r="AG59" s="79"/>
      <c r="AH59" s="81"/>
    </row>
    <row r="60" spans="1:34" x14ac:dyDescent="0.3">
      <c r="B60" s="205" t="s">
        <v>1069</v>
      </c>
      <c r="C60" s="205"/>
      <c r="D60" s="205"/>
      <c r="E60" s="205"/>
      <c r="F60" s="205"/>
      <c r="O60" s="182" t="s">
        <v>1082</v>
      </c>
      <c r="P60" s="183"/>
      <c r="Q60" s="183"/>
      <c r="R60" s="183"/>
      <c r="S60" s="183"/>
      <c r="T60" s="183"/>
      <c r="U60" s="183"/>
      <c r="V60" s="183"/>
      <c r="W60" s="183"/>
      <c r="X60" s="183"/>
      <c r="Y60" s="183"/>
      <c r="Z60" s="183"/>
      <c r="AA60" s="183"/>
      <c r="AB60" s="183"/>
      <c r="AC60" s="183"/>
      <c r="AD60" s="183"/>
      <c r="AE60" s="183"/>
      <c r="AF60" s="183"/>
      <c r="AG60" s="183"/>
      <c r="AH60" s="184"/>
    </row>
    <row r="61" spans="1:34" ht="15" thickBot="1" x14ac:dyDescent="0.35">
      <c r="B61" s="205"/>
      <c r="C61" s="205"/>
      <c r="D61" s="205"/>
      <c r="E61" s="205"/>
      <c r="F61" s="205"/>
      <c r="G61" s="14"/>
      <c r="H61" s="14"/>
      <c r="I61" s="14"/>
      <c r="J61" s="22"/>
      <c r="K61" s="22"/>
      <c r="L61" s="22"/>
      <c r="M61" s="22"/>
      <c r="N61" s="23"/>
      <c r="O61" s="206">
        <v>2023</v>
      </c>
      <c r="P61" s="207"/>
      <c r="Q61" s="207"/>
      <c r="R61" s="207"/>
      <c r="S61" s="207"/>
      <c r="T61" s="207"/>
      <c r="U61" s="207"/>
      <c r="V61" s="207"/>
      <c r="W61" s="207"/>
      <c r="X61" s="207"/>
      <c r="Y61" s="207"/>
      <c r="Z61" s="207"/>
      <c r="AA61" s="207"/>
      <c r="AB61" s="207"/>
      <c r="AC61" s="208"/>
      <c r="AD61" s="179">
        <v>2024</v>
      </c>
      <c r="AE61" s="180"/>
      <c r="AF61" s="180"/>
      <c r="AG61" s="180"/>
      <c r="AH61" s="181"/>
    </row>
    <row r="62" spans="1:34" ht="15" thickBot="1" x14ac:dyDescent="0.35">
      <c r="B62" s="14"/>
      <c r="C62" s="14"/>
      <c r="D62" s="14"/>
      <c r="E62" s="14"/>
      <c r="F62" s="14"/>
      <c r="G62" s="14"/>
      <c r="H62" s="182" t="s">
        <v>1058</v>
      </c>
      <c r="I62" s="183"/>
      <c r="J62" s="183"/>
      <c r="K62" s="183"/>
      <c r="L62" s="183"/>
      <c r="M62" s="183"/>
      <c r="N62" s="184"/>
      <c r="O62" s="185" t="s">
        <v>1044</v>
      </c>
      <c r="P62" s="186"/>
      <c r="Q62" s="186"/>
      <c r="R62" s="186"/>
      <c r="S62" s="187"/>
      <c r="T62" s="188" t="s">
        <v>1042</v>
      </c>
      <c r="U62" s="189"/>
      <c r="V62" s="189"/>
      <c r="W62" s="189"/>
      <c r="X62" s="190"/>
      <c r="Y62" s="191" t="s">
        <v>1043</v>
      </c>
      <c r="Z62" s="192"/>
      <c r="AA62" s="192"/>
      <c r="AB62" s="192"/>
      <c r="AC62" s="193"/>
      <c r="AD62" s="194" t="s">
        <v>1064</v>
      </c>
      <c r="AE62" s="195"/>
      <c r="AF62" s="195"/>
      <c r="AG62" s="195"/>
      <c r="AH62" s="196"/>
    </row>
    <row r="63" spans="1:34" ht="41.4" x14ac:dyDescent="0.3">
      <c r="E63" s="45"/>
      <c r="F63" s="24" t="s">
        <v>186</v>
      </c>
      <c r="G63" s="25" t="s">
        <v>1076</v>
      </c>
      <c r="H63" s="26" t="s">
        <v>216</v>
      </c>
      <c r="I63" s="27" t="s">
        <v>1108</v>
      </c>
      <c r="J63" s="27" t="s">
        <v>1109</v>
      </c>
      <c r="K63" s="28" t="s">
        <v>1059</v>
      </c>
      <c r="L63" s="28" t="s">
        <v>1060</v>
      </c>
      <c r="M63" s="28" t="s">
        <v>1067</v>
      </c>
      <c r="N63" s="28" t="s">
        <v>1075</v>
      </c>
      <c r="O63" s="26" t="s">
        <v>216</v>
      </c>
      <c r="P63" s="27" t="s">
        <v>1108</v>
      </c>
      <c r="Q63" s="28" t="s">
        <v>1065</v>
      </c>
      <c r="R63" s="27" t="s">
        <v>1109</v>
      </c>
      <c r="S63" s="64" t="s">
        <v>1066</v>
      </c>
      <c r="T63" s="26" t="s">
        <v>216</v>
      </c>
      <c r="U63" s="27" t="s">
        <v>1108</v>
      </c>
      <c r="V63" s="28" t="s">
        <v>1065</v>
      </c>
      <c r="W63" s="27" t="s">
        <v>1109</v>
      </c>
      <c r="X63" s="64" t="s">
        <v>1066</v>
      </c>
      <c r="Y63" s="26" t="s">
        <v>216</v>
      </c>
      <c r="Z63" s="27" t="s">
        <v>1108</v>
      </c>
      <c r="AA63" s="28" t="s">
        <v>1065</v>
      </c>
      <c r="AB63" s="27" t="s">
        <v>1109</v>
      </c>
      <c r="AC63" s="64" t="s">
        <v>1066</v>
      </c>
      <c r="AD63" s="26" t="s">
        <v>216</v>
      </c>
      <c r="AE63" s="27" t="s">
        <v>1108</v>
      </c>
      <c r="AF63" s="28" t="s">
        <v>1065</v>
      </c>
      <c r="AG63" s="27" t="s">
        <v>1109</v>
      </c>
      <c r="AH63" s="73" t="s">
        <v>1066</v>
      </c>
    </row>
    <row r="64" spans="1:34" x14ac:dyDescent="0.3">
      <c r="E64" s="45"/>
      <c r="F64" s="82" t="s">
        <v>1036</v>
      </c>
      <c r="G64" s="83" t="s">
        <v>230</v>
      </c>
      <c r="H64" s="84">
        <f>COUNTIFS(AllDataApr[Region], $F$64, AllDataApr[River], $G64)</f>
        <v>15</v>
      </c>
      <c r="I64" s="85">
        <f>AVERAGE(P64,U64,Z64,AE64)</f>
        <v>4.0758928571428577</v>
      </c>
      <c r="J64" s="86">
        <f>AVERAGE(R64,W64,AB64,AG64)</f>
        <v>0.63767857142857143</v>
      </c>
      <c r="K64" s="87" cm="1">
        <f t="array" ref="K64">SUM(COUNTIFS(AllDataApr[Region], F64, AllDataApr[River], G64, AllDataApr[Nitrate Pollution Category], {"High","Very high"}))/COUNTIFS(AllDataApr[Region], F64, AllDataApr[River], G64, AllDataApr[Nitrate (PPM)], "&lt;&gt;0")</f>
        <v>0.8</v>
      </c>
      <c r="L64" s="87" cm="1">
        <f t="array" ref="L64">SUM(COUNTIFS(AllDataApr[Region], F64, AllDataApr[River], G64, AllDataApr[Phosphate Pollution Category], {"High","Very high"}))/COUNTIFS(AllDataApr[Region], F64, AllDataApr[River], G64, AllDataApr[Phosphate (PPM)], "&lt;&gt;0")</f>
        <v>1</v>
      </c>
      <c r="M64" s="88"/>
      <c r="N64" s="88"/>
      <c r="O64" s="84">
        <f>COUNTIFS(AllDataApr[Region], $F$64, AllDataApr[River], $G64, AllDataApr[Season], "Summer")</f>
        <v>0</v>
      </c>
      <c r="P64" s="85"/>
      <c r="Q64" s="87"/>
      <c r="R64" s="86"/>
      <c r="S64" s="89"/>
      <c r="T64" s="84">
        <f>COUNTIFS(AllDataApr[Region], $F$64, AllDataApr[River], $G64, AllDataApr[Season], "Autumn")</f>
        <v>0</v>
      </c>
      <c r="U64" s="85" t="str">
        <f>IFERROR(AVERAGEIFS(AllDataApr[Nitrate (PPM)], AllDataApr[Region], $F$64, AllDataApr[River], $G$64, AllDataApr[Season], T$62), "")</f>
        <v/>
      </c>
      <c r="V64" s="87"/>
      <c r="W64" s="86"/>
      <c r="X64" s="89"/>
      <c r="Y64" s="84">
        <f>COUNTIFS(AllDataApr[Region], $F$64, AllDataApr[River], $G64, AllDataApr[Season], "Winter")</f>
        <v>7</v>
      </c>
      <c r="Z64" s="85">
        <f>IFERROR(AVERAGEIFS(AllDataApr[Nitrate (PPM)], AllDataApr[Region], $F$64, AllDataApr[River], $G$64, AllDataApr[Season], Y$62), "")</f>
        <v>5.7142857142857144</v>
      </c>
      <c r="AA64" s="87">
        <f>(Z64-$I64)/$I64</f>
        <v>0.40197152245345003</v>
      </c>
      <c r="AB64" s="86">
        <f>AVERAGEIFS(AllDataApr[Phosphate (PPM)], AllDataApr[Region], $F64, AllDataApr[River], $G64, AllDataApr[Season], Y62)</f>
        <v>0.6328571428571429</v>
      </c>
      <c r="AC64" s="87">
        <f>(AB64-$J64)/$J64</f>
        <v>-7.5609073088770034E-3</v>
      </c>
      <c r="AD64" s="84">
        <f>COUNTIFS(AllDataApr[Region], $F$64, AllDataApr[River], $G64, AllDataApr[Season], "Spring")</f>
        <v>8</v>
      </c>
      <c r="AE64" s="85">
        <f>IFERROR(AVERAGEIFS(AllDataApr[Nitrate (PPM)], AllDataApr[Region], $F$64, AllDataApr[River], $G$64, AllDataApr[Season], "Spring"), "")</f>
        <v>2.4375</v>
      </c>
      <c r="AF64" s="87">
        <f>(AE64-$I64)/$I64</f>
        <v>-0.40197152245345025</v>
      </c>
      <c r="AG64" s="86">
        <f>AVERAGEIFS(AllDataApr[Phosphate (PPM)], AllDataApr[Region], $F64, AllDataApr[River], $G64, AllDataApr[Season], "Spring")</f>
        <v>0.64249999999999996</v>
      </c>
      <c r="AH64" s="90">
        <f>(AG64-$J64)/$J64</f>
        <v>7.5609073088770034E-3</v>
      </c>
    </row>
    <row r="65" spans="5:34" x14ac:dyDescent="0.3">
      <c r="E65" s="45"/>
      <c r="F65" s="82"/>
      <c r="G65" s="83" t="s">
        <v>921</v>
      </c>
      <c r="H65" s="84">
        <f>COUNTIFS(AllDataApr[Region], $F$64, AllDataApr[River], $G65)</f>
        <v>7</v>
      </c>
      <c r="I65" s="85">
        <f t="shared" ref="I65:I84" si="14">AVERAGE(P65,U65,Z65,AE65)</f>
        <v>2.229166666666667</v>
      </c>
      <c r="J65" s="86">
        <f t="shared" ref="J65:J84" si="15">AVERAGE(R65,W65,AB65,AG65)</f>
        <v>0.65</v>
      </c>
      <c r="K65" s="87" cm="1">
        <f t="array" ref="K65">SUM(COUNTIFS(AllDataApr[Region], F64, AllDataApr[River], G65, AllDataApr[Nitrate Pollution Category], {"High","Very high"}))/COUNTIFS(AllDataApr[Region], F64, AllDataApr[River], G65, AllDataApr[Nitrate (PPM)], "&lt;&gt;0")</f>
        <v>1</v>
      </c>
      <c r="L65" s="87" cm="1">
        <f t="array" ref="L65">SUM(COUNTIFS(AllDataApr[Region], F64, AllDataApr[River], G65, AllDataApr[Phosphate Pollution Category], {"High","Very high"}))/COUNTIFS(AllDataApr[Region], F64, AllDataApr[River], G65, AllDataApr[Phosphate (PPM)], "&lt;&gt;0")</f>
        <v>1</v>
      </c>
      <c r="M65" s="88"/>
      <c r="N65" s="88"/>
      <c r="O65" s="84">
        <f>COUNTIFS(AllDataApr[Region], $F$64, AllDataApr[River], $G65, AllDataApr[Season], "Summer")</f>
        <v>0</v>
      </c>
      <c r="P65" s="85"/>
      <c r="Q65" s="87"/>
      <c r="R65" s="86"/>
      <c r="S65" s="89"/>
      <c r="T65" s="84">
        <f>COUNTIFS(AllDataApr[Region], $F$64, AllDataApr[River], $G65, AllDataApr[Season], "Autumn")</f>
        <v>0</v>
      </c>
      <c r="U65" s="85"/>
      <c r="V65" s="87"/>
      <c r="W65" s="86"/>
      <c r="X65" s="89"/>
      <c r="Y65" s="84">
        <f>COUNTIFS(AllDataApr[Region], $F$64, AllDataApr[River], $G65, AllDataApr[Season], "Winter")</f>
        <v>4</v>
      </c>
      <c r="Z65" s="85">
        <f>AVERAGEIFS(AllDataApr[Nitrate (PPM)], AllDataApr[Region], $F64, AllDataApr[River], $G65, AllDataApr[Season], Y$62)</f>
        <v>2.125</v>
      </c>
      <c r="AA65" s="87">
        <f t="shared" ref="AA65:AA84" si="16">(Z65-$I65)/$I65</f>
        <v>-4.6728971962616946E-2</v>
      </c>
      <c r="AB65" s="86">
        <f>AVERAGEIFS(AllDataApr[Phosphate (PPM)], AllDataApr[Region], $F64, AllDataApr[River], $G65, AllDataApr[Season], Y62)</f>
        <v>0.57000000000000006</v>
      </c>
      <c r="AC65" s="87">
        <f t="shared" ref="AC65:AC84" si="17">(AB65-$J65)/$J65</f>
        <v>-0.12307692307692301</v>
      </c>
      <c r="AD65" s="84">
        <f>COUNTIFS(AllDataApr[Region], $F$64, AllDataApr[River], $G65, AllDataApr[Season], "Spring")</f>
        <v>3</v>
      </c>
      <c r="AE65" s="85">
        <f>AVERAGEIFS(AllDataApr[Nitrate (PPM)], AllDataApr[Region], $F64, AllDataApr[River], $G65, AllDataApr[Season], "Spring")</f>
        <v>2.3333333333333335</v>
      </c>
      <c r="AF65" s="87">
        <f t="shared" ref="AF65:AF84" si="18">(AE65-$I65)/$I65</f>
        <v>4.6728971962616751E-2</v>
      </c>
      <c r="AG65" s="86">
        <f>AVERAGEIFS(AllDataApr[Phosphate (PPM)], AllDataApr[Region], $F64, AllDataApr[River], $G65, AllDataApr[Season], "Spring")</f>
        <v>0.73</v>
      </c>
      <c r="AH65" s="90">
        <f t="shared" ref="AH65:AH84" si="19">(AG65-$J65)/$J65</f>
        <v>0.12307692307692301</v>
      </c>
    </row>
    <row r="66" spans="5:34" x14ac:dyDescent="0.3">
      <c r="E66" s="45"/>
      <c r="F66" s="82"/>
      <c r="G66" s="83" t="s">
        <v>922</v>
      </c>
      <c r="H66" s="84">
        <f>COUNTIFS(AllDataApr[Region], $F$64, AllDataApr[River], $G66)</f>
        <v>7</v>
      </c>
      <c r="I66" s="85">
        <f t="shared" si="14"/>
        <v>2.0625</v>
      </c>
      <c r="J66" s="86">
        <f t="shared" si="15"/>
        <v>0.30583333333333335</v>
      </c>
      <c r="K66" s="87" cm="1">
        <f t="array" ref="K66">SUM(COUNTIFS(AllDataApr[Region], F64, AllDataApr[River], G66, AllDataApr[Nitrate Pollution Category], {"High","Very high"}))/COUNTIFS(AllDataApr[Region], F64, AllDataApr[River], G66, AllDataApr[Nitrate (PPM)], "&lt;&gt;0")</f>
        <v>1</v>
      </c>
      <c r="L66" s="87" cm="1">
        <f t="array" ref="L66">SUM(COUNTIFS(AllDataApr[Region], F64, AllDataApr[River], G66, AllDataApr[Phosphate Pollution Category], {"High","Very high"}))/COUNTIFS(AllDataApr[Region], F64, AllDataApr[River], G66, AllDataApr[Phosphate (PPM)], "&lt;&gt;0")</f>
        <v>1</v>
      </c>
      <c r="M66" s="88"/>
      <c r="N66" s="88"/>
      <c r="O66" s="84">
        <f>COUNTIFS(AllDataApr[Region], $F$64, AllDataApr[River], $G66, AllDataApr[Season], "Summer")</f>
        <v>0</v>
      </c>
      <c r="P66" s="85"/>
      <c r="Q66" s="87"/>
      <c r="R66" s="86"/>
      <c r="S66" s="89"/>
      <c r="T66" s="84">
        <f>COUNTIFS(AllDataApr[Region], $F$64, AllDataApr[River], $G66, AllDataApr[Season], "Autumn")</f>
        <v>0</v>
      </c>
      <c r="U66" s="85"/>
      <c r="V66" s="87"/>
      <c r="W66" s="86"/>
      <c r="X66" s="89"/>
      <c r="Y66" s="84">
        <f>COUNTIFS(AllDataApr[Region], $F$64, AllDataApr[River], $G66, AllDataApr[Season], "Winter")</f>
        <v>4</v>
      </c>
      <c r="Z66" s="85">
        <f>AVERAGEIFS(AllDataApr[Nitrate (PPM)], AllDataApr[Region], $F64, AllDataApr[River], $G66, AllDataApr[Season], Y$62)</f>
        <v>2.125</v>
      </c>
      <c r="AA66" s="87">
        <f t="shared" si="16"/>
        <v>3.0303030303030304E-2</v>
      </c>
      <c r="AB66" s="86">
        <f>AVERAGEIFS(AllDataApr[Phosphate (PPM)], AllDataApr[Region], $F64, AllDataApr[River], $G66, AllDataApr[Season], Y62)</f>
        <v>0.28499999999999998</v>
      </c>
      <c r="AC66" s="87">
        <f t="shared" si="17"/>
        <v>-6.8119891008174505E-2</v>
      </c>
      <c r="AD66" s="84">
        <f>COUNTIFS(AllDataApr[Region], $F$64, AllDataApr[River], $G66, AllDataApr[Season], "Spring")</f>
        <v>3</v>
      </c>
      <c r="AE66" s="85">
        <f>AVERAGEIFS(AllDataApr[Nitrate (PPM)], AllDataApr[Region], $F64, AllDataApr[River], $G66, AllDataApr[Season], "Spring")</f>
        <v>2</v>
      </c>
      <c r="AF66" s="87">
        <f t="shared" si="18"/>
        <v>-3.0303030303030304E-2</v>
      </c>
      <c r="AG66" s="86">
        <f>AVERAGEIFS(AllDataApr[Phosphate (PPM)], AllDataApr[Region], $F64, AllDataApr[River], $G66, AllDataApr[Season], "Spring")</f>
        <v>0.32666666666666672</v>
      </c>
      <c r="AH66" s="90">
        <f t="shared" si="19"/>
        <v>6.8119891008174505E-2</v>
      </c>
    </row>
    <row r="67" spans="5:34" s="103" customFormat="1" x14ac:dyDescent="0.3">
      <c r="E67" s="107"/>
      <c r="F67" s="116"/>
      <c r="G67" s="109" t="s">
        <v>1061</v>
      </c>
      <c r="H67" s="110">
        <f>COUNTIF(AllDataApr[Region], $F$64)</f>
        <v>29</v>
      </c>
      <c r="I67" s="111">
        <f t="shared" si="14"/>
        <v>3.0607142857142859</v>
      </c>
      <c r="J67" s="112">
        <f t="shared" si="15"/>
        <v>0.55845238095238092</v>
      </c>
      <c r="K67" s="113" cm="1">
        <f t="array" ref="K67">SUM(COUNTIFS(AllDataApr[Region], F64, AllDataApr[Nitrate Pollution Category], {"High","Very high"}))/COUNTIFS(AllDataApr[Region], F64, AllDataApr[Nitrate (PPM)], "&lt;&gt;0")</f>
        <v>0.89655172413793105</v>
      </c>
      <c r="L67" s="113" cm="1">
        <f t="array" ref="L67">SUM(COUNTIFS(AllDataApr[Region], F64, AllDataApr[Phosphate Pollution Category], {"High","Very high"}))/COUNTIFS(AllDataApr[Region], F64, AllDataApr[Phosphate (PPM)], "&lt;&gt;0")</f>
        <v>1</v>
      </c>
      <c r="M67" s="114">
        <v>5</v>
      </c>
      <c r="N67" s="114">
        <v>4</v>
      </c>
      <c r="O67" s="110">
        <f>COUNTIFS(AllDataApr[Region], $F$64, AllDataApr[Season], "Summer")</f>
        <v>0</v>
      </c>
      <c r="P67" s="111"/>
      <c r="Q67" s="113"/>
      <c r="R67" s="112"/>
      <c r="S67" s="115"/>
      <c r="T67" s="110">
        <f>COUNTIFS(AllDataApr[Region], $F$64, AllDataApr[Season], "Autumn")</f>
        <v>0</v>
      </c>
      <c r="U67" s="111"/>
      <c r="V67" s="113"/>
      <c r="W67" s="112"/>
      <c r="X67" s="115"/>
      <c r="Y67" s="110">
        <f>COUNTIFS(AllDataApr[Region], $F$64, AllDataApr[Season], "Winter")</f>
        <v>15</v>
      </c>
      <c r="Z67" s="111">
        <f>AVERAGEIFS(AllDataApr[Nitrate (PPM)], AllDataApr[Region], $F64, AllDataApr[Season], Y$62)</f>
        <v>3.8</v>
      </c>
      <c r="AA67" s="113">
        <f t="shared" si="16"/>
        <v>0.24154025670945142</v>
      </c>
      <c r="AB67" s="112">
        <f>AVERAGEIFS(AllDataApr[Phosphate (PPM)], AllDataApr[Region], $F64, AllDataApr[Season], Y62)</f>
        <v>0.52333333333333321</v>
      </c>
      <c r="AC67" s="113">
        <f t="shared" si="17"/>
        <v>-6.2886378170965859E-2</v>
      </c>
      <c r="AD67" s="110">
        <f>COUNTIFS(AllDataApr[Region], $F$64, AllDataApr[Season], "Spring")</f>
        <v>14</v>
      </c>
      <c r="AE67" s="111">
        <f>AVERAGEIFS(AllDataApr[Nitrate (PPM)], AllDataApr[Region], $F64, AllDataApr[Season], "Spring")</f>
        <v>2.3214285714285716</v>
      </c>
      <c r="AF67" s="113">
        <f t="shared" si="18"/>
        <v>-0.24154025670945156</v>
      </c>
      <c r="AG67" s="112">
        <f>AVERAGEIFS(AllDataApr[Phosphate (PPM)], AllDataApr[Region], $F64, AllDataApr[Season], "Spring")</f>
        <v>0.59357142857142864</v>
      </c>
      <c r="AH67" s="140">
        <f t="shared" si="19"/>
        <v>6.2886378170965859E-2</v>
      </c>
    </row>
    <row r="68" spans="5:34" x14ac:dyDescent="0.3">
      <c r="E68" s="45"/>
      <c r="F68" s="92" t="s">
        <v>1035</v>
      </c>
      <c r="G68" s="93" t="s">
        <v>191</v>
      </c>
      <c r="H68" s="94">
        <f>COUNTIFS(AllDataApr[Region], $F$68, AllDataApr[River], $G68)</f>
        <v>22</v>
      </c>
      <c r="I68" s="85">
        <f t="shared" si="14"/>
        <v>7.0555555555555554</v>
      </c>
      <c r="J68" s="86">
        <f t="shared" si="15"/>
        <v>0.55847222222222226</v>
      </c>
      <c r="K68" s="97" cm="1">
        <f t="array" ref="K68">SUM(COUNTIFS(AllDataApr[Region], F68, AllDataApr[River], G68, AllDataApr[Nitrate Pollution Category], {"High","Very high"}))/COUNTIFS(AllDataApr[Region], F68, AllDataApr[River], G68, AllDataApr[Nitrate (PPM)], "&lt;&gt;0")</f>
        <v>1</v>
      </c>
      <c r="L68" s="97" cm="1">
        <f t="array" ref="L68">SUM(COUNTIFS(AllDataApr[Region], F68, AllDataApr[River], G68, AllDataApr[Phosphate Pollution Category], {"High","Very high"}))/COUNTIFS(AllDataApr[Region], F68, AllDataApr[River], G68, AllDataApr[Phosphate (PPM)], "&lt;&gt;0")</f>
        <v>1</v>
      </c>
      <c r="M68" s="98"/>
      <c r="N68" s="98"/>
      <c r="O68" s="94">
        <f>COUNTIFS(AllDataApr[Region],$F$68,AllDataApr[River],$G68,AllDataApr[Season],"Summer")</f>
        <v>0</v>
      </c>
      <c r="P68" s="95"/>
      <c r="Q68" s="95"/>
      <c r="R68" s="96"/>
      <c r="S68" s="99"/>
      <c r="T68" s="94">
        <f>COUNTIFS(AllDataApr[Region],$F$68,AllDataApr[River],$G68,AllDataApr[Season],"Autumn")</f>
        <v>0</v>
      </c>
      <c r="U68" s="95"/>
      <c r="V68" s="97"/>
      <c r="W68" s="96"/>
      <c r="X68" s="99"/>
      <c r="Y68" s="94">
        <f>COUNTIFS(AllDataApr[Region],$F$68,AllDataApr[River],$G68,AllDataApr[Season],"Winter")</f>
        <v>4</v>
      </c>
      <c r="Z68" s="95">
        <f>AVERAGEIFS(AllDataApr[Nitrate (PPM)], AllDataApr[Region], $F68, AllDataApr[River], $G68, AllDataApr[Season], Y$62)</f>
        <v>7.5</v>
      </c>
      <c r="AA68" s="97">
        <f t="shared" si="16"/>
        <v>6.2992125984251995E-2</v>
      </c>
      <c r="AB68" s="96">
        <f>AVERAGEIFS(AllDataApr[Phosphate (PPM)], AllDataApr[Region], $F68, AllDataApr[River], $G68, AllDataApr[Season], Y62)</f>
        <v>0.59250000000000003</v>
      </c>
      <c r="AC68" s="97">
        <f t="shared" si="17"/>
        <v>6.0930116886346655E-2</v>
      </c>
      <c r="AD68" s="94">
        <f>COUNTIFS(AllDataApr[Region],$F$68,AllDataApr[River],$G68,AllDataApr[Season],"Spring")</f>
        <v>18</v>
      </c>
      <c r="AE68" s="95">
        <f>AVERAGEIFS(AllDataApr[Nitrate (PPM)], AllDataApr[Region], $F68, AllDataApr[River], $G68, AllDataApr[Season], "Spring")</f>
        <v>6.6111111111111107</v>
      </c>
      <c r="AF68" s="97">
        <f t="shared" si="18"/>
        <v>-6.2992125984251995E-2</v>
      </c>
      <c r="AG68" s="96">
        <f>AVERAGEIFS(AllDataApr[Phosphate (PPM)], AllDataApr[Region], $F68, AllDataApr[River], $G68, AllDataApr[Season], "Spring")</f>
        <v>0.52444444444444449</v>
      </c>
      <c r="AH68" s="100">
        <f t="shared" si="19"/>
        <v>-6.0930116886346655E-2</v>
      </c>
    </row>
    <row r="69" spans="5:34" x14ac:dyDescent="0.3">
      <c r="E69" s="45"/>
      <c r="F69" s="92"/>
      <c r="G69" s="93" t="s">
        <v>1040</v>
      </c>
      <c r="H69" s="94">
        <f>COUNTIFS(AllDataApr[Region], $F$68, AllDataApr[River], $G69)</f>
        <v>15</v>
      </c>
      <c r="I69" s="85">
        <f t="shared" si="14"/>
        <v>4.9285714285714288</v>
      </c>
      <c r="J69" s="86">
        <f t="shared" si="15"/>
        <v>0.54</v>
      </c>
      <c r="K69" s="97" cm="1">
        <f t="array" ref="K69">SUM(COUNTIFS(AllDataApr[Region], F68, AllDataApr[River], G69, AllDataApr[Nitrate Pollution Category], {"High","Very high"}))/COUNTIFS(AllDataApr[Region], F68, AllDataApr[River], G69, AllDataApr[Nitrate (PPM)], "&lt;&gt;0")</f>
        <v>0.93333333333333335</v>
      </c>
      <c r="L69" s="97" cm="1">
        <f t="array" ref="L69">SUM(COUNTIFS(AllDataApr[Region], F68, AllDataApr[River], G69, AllDataApr[Phosphate Pollution Category], {"High","Very high"}))/COUNTIFS(AllDataApr[Region], F68, AllDataApr[River], G69, AllDataApr[Phosphate (PPM)], "&lt;&gt;0")</f>
        <v>1</v>
      </c>
      <c r="M69" s="98"/>
      <c r="N69" s="98"/>
      <c r="O69" s="94">
        <f>COUNTIFS(AllDataApr[Region], $F$68, AllDataApr[River], $G69,AllDataApr[Season],"Summer")</f>
        <v>0</v>
      </c>
      <c r="P69" s="95"/>
      <c r="Q69" s="95"/>
      <c r="R69" s="96"/>
      <c r="S69" s="99"/>
      <c r="T69" s="94">
        <f>COUNTIFS(AllDataApr[Region], $F$68, AllDataApr[River], $G69,AllDataApr[Season],"Autumn")</f>
        <v>0</v>
      </c>
      <c r="U69" s="95"/>
      <c r="V69" s="97"/>
      <c r="W69" s="96"/>
      <c r="X69" s="99"/>
      <c r="Y69" s="94">
        <f>COUNTIFS(AllDataApr[Region], $F$68, AllDataApr[River], $G69,AllDataApr[Season],"Winter")</f>
        <v>1</v>
      </c>
      <c r="Z69" s="95"/>
      <c r="AA69" s="97"/>
      <c r="AB69" s="96">
        <f>AVERAGEIFS(AllDataApr[Phosphate (PPM)], AllDataApr[Region], $F68, AllDataApr[River], $G69, AllDataApr[Season], Y62)</f>
        <v>0.21</v>
      </c>
      <c r="AC69" s="97">
        <f t="shared" si="17"/>
        <v>-0.61111111111111116</v>
      </c>
      <c r="AD69" s="94">
        <f>COUNTIFS(AllDataApr[Region], $F$68, AllDataApr[River], $G69,AllDataApr[Season],"Spring")</f>
        <v>14</v>
      </c>
      <c r="AE69" s="95">
        <f>AVERAGEIFS(AllDataApr[Nitrate (PPM)], AllDataApr[Region], $F68, AllDataApr[River], $G69, AllDataApr[Season], "Spring")</f>
        <v>4.9285714285714288</v>
      </c>
      <c r="AF69" s="97">
        <f t="shared" si="18"/>
        <v>0</v>
      </c>
      <c r="AG69" s="96">
        <f>AVERAGEIFS(AllDataApr[Phosphate (PPM)], AllDataApr[Region], $F68, AllDataApr[River], $G69, AllDataApr[Season], "Spring")</f>
        <v>0.87</v>
      </c>
      <c r="AH69" s="100">
        <f t="shared" si="19"/>
        <v>0.61111111111111105</v>
      </c>
    </row>
    <row r="70" spans="5:34" x14ac:dyDescent="0.3">
      <c r="E70" s="45"/>
      <c r="F70" s="92"/>
      <c r="G70" s="93" t="s">
        <v>1041</v>
      </c>
      <c r="H70" s="94">
        <f>COUNTIFS(AllDataApr[Region], $F$68, AllDataApr[River], $G70)</f>
        <v>13</v>
      </c>
      <c r="I70" s="85">
        <f t="shared" si="14"/>
        <v>5.6923076923076925</v>
      </c>
      <c r="J70" s="86">
        <f t="shared" si="15"/>
        <v>0.64461538461538459</v>
      </c>
      <c r="K70" s="97" cm="1">
        <f t="array" ref="K70">SUM(COUNTIFS(AllDataApr[Region], F68, AllDataApr[River], G70, AllDataApr[Nitrate Pollution Category], {"High","Very high"}))/COUNTIFS(AllDataApr[Region], F68, AllDataApr[River], G70, AllDataApr[Nitrate (PPM)], "&lt;&gt;0")</f>
        <v>1</v>
      </c>
      <c r="L70" s="97" cm="1">
        <f t="array" ref="L70">SUM(COUNTIFS(AllDataApr[Region], F68, AllDataApr[River], G70, AllDataApr[Phosphate Pollution Category], {"High","Very high"}))/COUNTIFS(AllDataApr[Region], F68, AllDataApr[River], G70, AllDataApr[Phosphate (PPM)], "&lt;&gt;0")</f>
        <v>1</v>
      </c>
      <c r="M70" s="98"/>
      <c r="N70" s="98"/>
      <c r="O70" s="94">
        <f>COUNTIFS(AllDataApr[Region], $F$68, AllDataApr[River], $G70,AllDataApr[Season],"Summer")</f>
        <v>0</v>
      </c>
      <c r="P70" s="95"/>
      <c r="Q70" s="95"/>
      <c r="R70" s="96"/>
      <c r="S70" s="99"/>
      <c r="T70" s="94">
        <f>COUNTIFS(AllDataApr[Region], $F$68, AllDataApr[River], $G70,AllDataApr[Season],"Autumn")</f>
        <v>0</v>
      </c>
      <c r="U70" s="95"/>
      <c r="V70" s="97"/>
      <c r="W70" s="96"/>
      <c r="X70" s="99"/>
      <c r="Y70" s="94">
        <f>COUNTIFS(AllDataApr[Region], $F$68, AllDataApr[River], $G70,AllDataApr[Season],"Winter")</f>
        <v>0</v>
      </c>
      <c r="Z70" s="95"/>
      <c r="AA70" s="97"/>
      <c r="AB70" s="96"/>
      <c r="AC70" s="97"/>
      <c r="AD70" s="94">
        <f>COUNTIFS(AllDataApr[Region], $F$68, AllDataApr[River], $G70,AllDataApr[Season],"Spring")</f>
        <v>13</v>
      </c>
      <c r="AE70" s="95">
        <f>AVERAGEIFS(AllDataApr[Nitrate (PPM)], AllDataApr[Region], $F68, AllDataApr[River], $G70, AllDataApr[Season], "Spring")</f>
        <v>5.6923076923076925</v>
      </c>
      <c r="AF70" s="97">
        <f t="shared" si="18"/>
        <v>0</v>
      </c>
      <c r="AG70" s="96">
        <f>AVERAGEIFS(AllDataApr[Phosphate (PPM)], AllDataApr[Region], $F68, AllDataApr[River], $G70, AllDataApr[Season], "Spring")</f>
        <v>0.64461538461538459</v>
      </c>
      <c r="AH70" s="100">
        <f t="shared" si="19"/>
        <v>0</v>
      </c>
    </row>
    <row r="71" spans="5:34" s="103" customFormat="1" x14ac:dyDescent="0.3">
      <c r="E71" s="107"/>
      <c r="F71" s="118"/>
      <c r="G71" s="139" t="s">
        <v>1061</v>
      </c>
      <c r="H71" s="119">
        <f>COUNTIF(AllDataApr[Region], $F$68)</f>
        <v>50</v>
      </c>
      <c r="I71" s="111">
        <f t="shared" si="14"/>
        <v>6.6611111111111114</v>
      </c>
      <c r="J71" s="112">
        <f t="shared" si="15"/>
        <v>0.59133333333333327</v>
      </c>
      <c r="K71" s="120" cm="1">
        <f t="array" ref="K71">SUM(COUNTIFS(AllDataApr[Region], F68, AllDataApr[Nitrate Pollution Category], {"High","Very high"}))/COUNTIFS(AllDataApr[Region], F68, AllDataApr[Nitrate (PPM)], "&lt;&gt;0")</f>
        <v>0.98</v>
      </c>
      <c r="L71" s="120" cm="1">
        <f t="array" ref="L71">SUM(COUNTIFS(AllDataApr[Region], F68, AllDataApr[Phosphate Pollution Category], {"High","Very high"}))/COUNTIFS(AllDataApr[Region], F68, AllDataApr[Phosphate (PPM)], "&lt;&gt;0")</f>
        <v>1</v>
      </c>
      <c r="M71" s="121">
        <v>3</v>
      </c>
      <c r="N71" s="121">
        <v>3</v>
      </c>
      <c r="O71" s="119">
        <f>COUNTIFS(AllDataApr[Region], $F$68,AllDataApr[Season],"Summer")</f>
        <v>0</v>
      </c>
      <c r="P71" s="122"/>
      <c r="Q71" s="122"/>
      <c r="R71" s="123"/>
      <c r="S71" s="124"/>
      <c r="T71" s="119">
        <f>COUNTIFS(AllDataApr[Region], $F$68,AllDataApr[Season],"Autumn")</f>
        <v>0</v>
      </c>
      <c r="U71" s="122"/>
      <c r="V71" s="120"/>
      <c r="W71" s="123"/>
      <c r="X71" s="124"/>
      <c r="Y71" s="119">
        <f>COUNTIFS(AllDataApr[Region], $F$68,AllDataApr[Season],"Winter")</f>
        <v>5</v>
      </c>
      <c r="Z71" s="122">
        <f>AVERAGEIFS(AllDataApr[Nitrate (PPM)], AllDataApr[Region], $F68, AllDataApr[Season], Y$62)</f>
        <v>7.5</v>
      </c>
      <c r="AA71" s="120">
        <f t="shared" si="16"/>
        <v>0.1259382819015846</v>
      </c>
      <c r="AB71" s="123">
        <f>AVERAGEIFS(AllDataApr[Phosphate (PPM)], AllDataApr[Region], $F68, AllDataApr[Season], Y62)</f>
        <v>0.51600000000000001</v>
      </c>
      <c r="AC71" s="120">
        <f t="shared" si="17"/>
        <v>-0.12739571589627946</v>
      </c>
      <c r="AD71" s="119">
        <f>COUNTIFS(AllDataApr[Region], $F$68,AllDataApr[Season],"Spring")</f>
        <v>45</v>
      </c>
      <c r="AE71" s="122">
        <f>AVERAGEIFS(AllDataApr[Nitrate (PPM)], AllDataApr[Region], $F68, AllDataApr[Season], "Spring")</f>
        <v>5.822222222222222</v>
      </c>
      <c r="AF71" s="120">
        <f t="shared" si="18"/>
        <v>-0.12593828190158474</v>
      </c>
      <c r="AG71" s="123">
        <f>AVERAGEIFS(AllDataApr[Phosphate (PPM)], AllDataApr[Region], $F68, AllDataApr[Season], "Spring")</f>
        <v>0.66666666666666663</v>
      </c>
      <c r="AH71" s="141">
        <f t="shared" si="19"/>
        <v>0.12739571589627965</v>
      </c>
    </row>
    <row r="72" spans="5:34" x14ac:dyDescent="0.3">
      <c r="E72" s="45"/>
      <c r="F72" s="82" t="s">
        <v>188</v>
      </c>
      <c r="G72" s="83" t="s">
        <v>192</v>
      </c>
      <c r="H72" s="84">
        <f>COUNTIFS(AllDataApr[Region], $F$72, AllDataApr[River], $G72)</f>
        <v>142</v>
      </c>
      <c r="I72" s="85">
        <f t="shared" si="14"/>
        <v>3.5757923497267758</v>
      </c>
      <c r="J72" s="86">
        <f t="shared" si="15"/>
        <v>0.70712682733174526</v>
      </c>
      <c r="K72" s="87" cm="1">
        <f t="array" ref="K72">SUM(COUNTIFS(AllDataApr[Region], F72, AllDataApr[River], G72, AllDataApr[Nitrate Pollution Category], {"High","Very high"}))/COUNTIFS(AllDataApr[Region], F72, AllDataApr[River], G72, AllDataApr[Nitrate (PPM)], "&lt;&gt;0")</f>
        <v>0.89436619718309862</v>
      </c>
      <c r="L72" s="87" cm="1">
        <f t="array" ref="L72">SUM(COUNTIFS(AllDataApr[Region], F72, AllDataApr[River], G72, AllDataApr[Phosphate Pollution Category], {"High","Very high"}))/COUNTIFS(AllDataApr[Region], F72, AllDataApr[River], G72, AllDataApr[Phosphate (PPM)], "&lt;&gt;0")</f>
        <v>0.971830985915493</v>
      </c>
      <c r="M72" s="88"/>
      <c r="N72" s="88"/>
      <c r="O72" s="84">
        <f>COUNTIFS(AllDataApr[Region], $F$72, AllDataApr[River], $G72,AllDataApr[Season],"Summer")</f>
        <v>1</v>
      </c>
      <c r="P72" s="85">
        <f>AVERAGEIFS(AllDataApr[Nitrate (PPM)], AllDataApr[Region], $F72, AllDataApr[River],$G72, AllDataApr[Season], O$62)</f>
        <v>2</v>
      </c>
      <c r="Q72" s="87">
        <f>IFERROR((P72-I72)/I72, "")</f>
        <v>-0.44068340541283979</v>
      </c>
      <c r="R72" s="86">
        <f>AVERAGEIFS(AllDataApr[Phosphate (PPM)], AllDataApr[Region], $F72, AllDataApr[River], $G72, AllDataApr[Season], O62)</f>
        <v>0.78</v>
      </c>
      <c r="S72" s="89">
        <f>(R72-J72)/J72</f>
        <v>0.10305530755102671</v>
      </c>
      <c r="T72" s="84">
        <f>COUNTIFS(AllDataApr[Region], $F$72, AllDataApr[River], $G72,AllDataApr[Season],"Autumn")</f>
        <v>26</v>
      </c>
      <c r="U72" s="85">
        <f>AVERAGEIFS(AllDataApr[Nitrate (PPM)], AllDataApr[Region], $F72, AllDataApr[River],$G72, AllDataApr[Season], T$62)</f>
        <v>5.9</v>
      </c>
      <c r="V72" s="87">
        <f>(U72-I72)/I72</f>
        <v>0.64998395403212261</v>
      </c>
      <c r="W72" s="86">
        <f>AVERAGEIFS(AllDataApr[Phosphate (PPM)], AllDataApr[Region], $F72, AllDataApr[River], $G72, AllDataApr[Season], T62)</f>
        <v>0.58461538461538454</v>
      </c>
      <c r="X72" s="89">
        <f>(W72-J72)/J72</f>
        <v>-0.17325243221027598</v>
      </c>
      <c r="Y72" s="84">
        <f>COUNTIFS(AllDataApr[Region], $F$72, AllDataApr[River], $G72,AllDataApr[Season],"Winter")</f>
        <v>54</v>
      </c>
      <c r="Z72" s="85">
        <f>AVERAGEIFS(AllDataApr[Nitrate (PPM)], AllDataApr[Region], $F72, AllDataApr[River],$G72, AllDataApr[Season], Y$62)</f>
        <v>3.3833333333333333</v>
      </c>
      <c r="AA72" s="87">
        <f t="shared" si="16"/>
        <v>-5.3822760823387356E-2</v>
      </c>
      <c r="AB72" s="86">
        <f>AVERAGEIFS(AllDataApr[Phosphate (PPM)], AllDataApr[Region], $F72, AllDataApr[River], $G72, AllDataApr[Season], Y62)</f>
        <v>0.63962962962962944</v>
      </c>
      <c r="AC72" s="87">
        <f t="shared" si="17"/>
        <v>-9.5452746371974123E-2</v>
      </c>
      <c r="AD72" s="84">
        <f>COUNTIFS(AllDataApr[Region], $F$72, AllDataApr[River], $G72,AllDataApr[Season],"Spring")</f>
        <v>61</v>
      </c>
      <c r="AE72" s="85">
        <f>AVERAGEIFS(AllDataApr[Nitrate (PPM)], AllDataApr[Region], $F72, AllDataApr[River],$G72, AllDataApr[Season], "Spring")</f>
        <v>3.0198360655737702</v>
      </c>
      <c r="AF72" s="87">
        <f t="shared" si="18"/>
        <v>-0.15547778779589536</v>
      </c>
      <c r="AG72" s="86">
        <f>AVERAGEIFS(AllDataApr[Phosphate (PPM)], AllDataApr[Region], $F72, AllDataApr[River], $G72, AllDataApr[Season], "Spring")</f>
        <v>0.82426229508196702</v>
      </c>
      <c r="AH72" s="90">
        <f t="shared" si="19"/>
        <v>0.16564987103122339</v>
      </c>
    </row>
    <row r="73" spans="5:34" x14ac:dyDescent="0.3">
      <c r="E73" s="45"/>
      <c r="F73" s="82"/>
      <c r="G73" s="82" t="s">
        <v>1074</v>
      </c>
      <c r="H73" s="84">
        <f>COUNTIFS(AllDataApr[Region], $F$72, AllDataApr[River], $G73)</f>
        <v>1</v>
      </c>
      <c r="I73" s="85">
        <f t="shared" si="14"/>
        <v>1</v>
      </c>
      <c r="J73" s="86">
        <f t="shared" si="15"/>
        <v>0.18</v>
      </c>
      <c r="K73" s="87" cm="1">
        <f t="array" ref="K73">SUM(COUNTIFS(AllDataApr[Region], F72, AllDataApr[River], G73, AllDataApr[Nitrate Pollution Category], {"High","Very high"}))/COUNTIFS(AllDataApr[Region], F72, AllDataApr[River], G73, AllDataApr[Nitrate (PPM)], "&lt;&gt;0")</f>
        <v>0</v>
      </c>
      <c r="L73" s="87" cm="1">
        <f t="array" ref="L73">SUM(COUNTIFS(AllDataApr[Region], F72, AllDataApr[River], G73, AllDataApr[Phosphate Pollution Category], {"High","Very high"}))/COUNTIFS(AllDataApr[Region], F72, AllDataApr[River], G73, AllDataApr[Phosphate (PPM)], "&lt;&gt;0")</f>
        <v>1</v>
      </c>
      <c r="M73" s="88"/>
      <c r="N73" s="88"/>
      <c r="O73" s="84">
        <f>COUNTIFS(AllDataApr[Region], $F$72, AllDataApr[River], $G73,AllDataApr[Season],"Summer")</f>
        <v>0</v>
      </c>
      <c r="P73" s="85"/>
      <c r="Q73" s="87"/>
      <c r="R73" s="86"/>
      <c r="S73" s="89"/>
      <c r="T73" s="84">
        <f>COUNTIFS(AllDataApr[Region], $F$72, AllDataApr[River], $G73,AllDataApr[Season],"Autumn")</f>
        <v>1</v>
      </c>
      <c r="U73" s="85">
        <f>AVERAGEIFS(AllDataApr[Nitrate (PPM)], AllDataApr[Region], $F72, AllDataApr[River], $G73, AllDataApr[Season], T$62)</f>
        <v>1</v>
      </c>
      <c r="V73" s="87">
        <f t="shared" ref="V73:V84" si="20">(U73-I73)/I73</f>
        <v>0</v>
      </c>
      <c r="W73" s="86">
        <f>AVERAGEIFS(AllDataApr[Phosphate (PPM)], AllDataApr[Region], $F72, AllDataApr[River], $G73, AllDataApr[Season], T62)</f>
        <v>0.18</v>
      </c>
      <c r="X73" s="89">
        <f t="shared" ref="X73:X84" si="21">(W73-J73)/J73</f>
        <v>0</v>
      </c>
      <c r="Y73" s="84">
        <f>COUNTIFS(AllDataApr[Region], $F$72, AllDataApr[River], $G73,AllDataApr[Season],"Winter")</f>
        <v>0</v>
      </c>
      <c r="Z73" s="85"/>
      <c r="AA73" s="87"/>
      <c r="AB73" s="86"/>
      <c r="AC73" s="87"/>
      <c r="AD73" s="84">
        <f>COUNTIFS(AllDataApr[Region], $F$72, AllDataApr[River], $G73,AllDataApr[Season],"Spring")</f>
        <v>0</v>
      </c>
      <c r="AE73" s="85"/>
      <c r="AF73" s="87"/>
      <c r="AG73" s="86"/>
      <c r="AH73" s="90"/>
    </row>
    <row r="74" spans="5:34" s="103" customFormat="1" x14ac:dyDescent="0.3">
      <c r="E74" s="107"/>
      <c r="F74" s="116"/>
      <c r="G74" s="116" t="s">
        <v>1061</v>
      </c>
      <c r="H74" s="110">
        <f>COUNTIF(AllDataApr[Region], $F$72)</f>
        <v>143</v>
      </c>
      <c r="I74" s="111">
        <f t="shared" si="14"/>
        <v>3.5286769651113912</v>
      </c>
      <c r="J74" s="112">
        <f t="shared" si="15"/>
        <v>0.70338038858530649</v>
      </c>
      <c r="K74" s="113" cm="1">
        <f t="array" ref="K74">SUM(COUNTIFS(AllDataApr[Region], F72, AllDataApr[Nitrate Pollution Category], {"High","Very high"}))/COUNTIFS(AllDataApr[Region], F72, AllDataApr[Nitrate (PPM)], "&lt;&gt;0")</f>
        <v>0.88811188811188813</v>
      </c>
      <c r="L74" s="113" cm="1">
        <f t="array" ref="L74">SUM(COUNTIFS(AllDataApr[Region], F72, AllDataApr[Phosphate Pollution Category], {"High","Very high"}))/COUNTIFS(AllDataApr[Region], F72, AllDataApr[Phosphate (PPM)], "&lt;&gt;0")</f>
        <v>0.97202797202797198</v>
      </c>
      <c r="M74" s="114">
        <v>4</v>
      </c>
      <c r="N74" s="117">
        <v>1</v>
      </c>
      <c r="O74" s="110">
        <f>COUNTIFS(AllDataApr[Region], $F$72,AllDataApr[Season],"Summer")</f>
        <v>1</v>
      </c>
      <c r="P74" s="111">
        <f>AVERAGEIFS(AllDataApr[Nitrate (PPM)], AllDataApr[Region], $F72, AllDataApr[Season], O$62)</f>
        <v>2</v>
      </c>
      <c r="Q74" s="113">
        <f t="shared" ref="Q74:Q84" si="22">IFERROR((P74-I74)/I74, "")</f>
        <v>-0.43321533260926726</v>
      </c>
      <c r="R74" s="112">
        <f>AVERAGEIFS(AllDataApr[Phosphate (PPM)], AllDataApr[Region], $F72, AllDataApr[Season], O62)</f>
        <v>0.78</v>
      </c>
      <c r="S74" s="115">
        <f t="shared" ref="S74:S84" si="23">(R74-J74)/J74</f>
        <v>0.10893054833217183</v>
      </c>
      <c r="T74" s="110">
        <f>COUNTIFS(AllDataApr[Region], $F$72,AllDataApr[Season],"Autumn")</f>
        <v>27</v>
      </c>
      <c r="U74" s="111">
        <f>AVERAGEIFS(AllDataApr[Nitrate (PPM)], AllDataApr[Region], $F72, AllDataApr[Season], T$62)</f>
        <v>5.7115384615384617</v>
      </c>
      <c r="V74" s="113">
        <f t="shared" si="20"/>
        <v>0.61860621360622714</v>
      </c>
      <c r="W74" s="112">
        <f>AVERAGEIFS(AllDataApr[Phosphate (PPM)], AllDataApr[Region], $F72, AllDataApr[Season], T62)</f>
        <v>0.5696296296296296</v>
      </c>
      <c r="X74" s="115">
        <f t="shared" si="21"/>
        <v>-0.19015423393405503</v>
      </c>
      <c r="Y74" s="110">
        <f>COUNTIFS(AllDataApr[Region], $F$72,AllDataApr[Season],"Winter")</f>
        <v>54</v>
      </c>
      <c r="Z74" s="111">
        <f>AVERAGEIFS(AllDataApr[Nitrate (PPM)], AllDataApr[Region], $F72, AllDataApr[Season], Y$62)</f>
        <v>3.3833333333333333</v>
      </c>
      <c r="AA74" s="113">
        <f t="shared" si="16"/>
        <v>-4.1189270997343833E-2</v>
      </c>
      <c r="AB74" s="112">
        <f>AVERAGEIFS(AllDataApr[Phosphate (PPM)], AllDataApr[Region], $F72, AllDataApr[Season], Y62)</f>
        <v>0.63962962962962944</v>
      </c>
      <c r="AC74" s="113">
        <f t="shared" si="17"/>
        <v>-9.0634825750398801E-2</v>
      </c>
      <c r="AD74" s="110">
        <f>COUNTIFS(AllDataApr[Region], $F$72,AllDataApr[Season],"Spring")</f>
        <v>61</v>
      </c>
      <c r="AE74" s="111">
        <f>AVERAGEIFS(AllDataApr[Nitrate (PPM)], AllDataApr[Region], $F72, AllDataApr[Season], "Spring")</f>
        <v>3.0198360655737702</v>
      </c>
      <c r="AF74" s="113">
        <f t="shared" si="18"/>
        <v>-0.14420160999961587</v>
      </c>
      <c r="AG74" s="112">
        <f>AVERAGEIFS(AllDataApr[Phosphate (PPM)], AllDataApr[Region], $F72, AllDataApr[Season], "Spring")</f>
        <v>0.82426229508196702</v>
      </c>
      <c r="AH74" s="140">
        <f t="shared" si="19"/>
        <v>0.17185851135228217</v>
      </c>
    </row>
    <row r="75" spans="5:34" x14ac:dyDescent="0.3">
      <c r="E75" s="45"/>
      <c r="F75" s="92" t="s">
        <v>185</v>
      </c>
      <c r="G75" s="92" t="s">
        <v>191</v>
      </c>
      <c r="H75" s="94">
        <f>COUNTIFS(AllDataApr[Region], $F$75, AllDataApr[River], $G75)</f>
        <v>225</v>
      </c>
      <c r="I75" s="85">
        <f t="shared" si="14"/>
        <v>7.0866183261183266</v>
      </c>
      <c r="J75" s="86">
        <f t="shared" si="15"/>
        <v>0.55694819434951015</v>
      </c>
      <c r="K75" s="97" cm="1">
        <f t="array" ref="K75">SUM(COUNTIFS(AllDataApr[Region], F75, AllDataApr[River], G75, AllDataApr[Nitrate Pollution Category], {"High","Very high"}))/COUNTIFS(AllDataApr[Region], F75, AllDataApr[River], G75, AllDataApr[Nitrate (PPM)], "&lt;&gt;0")</f>
        <v>0.99111111111111116</v>
      </c>
      <c r="L75" s="97" cm="1">
        <f t="array" ref="L75">SUM(COUNTIFS(AllDataApr[Region], F75, AllDataApr[River], G75, AllDataApr[Phosphate Pollution Category], {"High","Very high"}))/COUNTIFS(AllDataApr[Region], F75, AllDataApr[River], G75, AllDataApr[Phosphate (PPM)], "&lt;&gt;0")</f>
        <v>1</v>
      </c>
      <c r="M75" s="98"/>
      <c r="N75" s="98"/>
      <c r="O75" s="94">
        <f>COUNTIFS(AllDataApr[Region], $F$75, AllDataApr[River], $G75,AllDataApr[Season],"Summer")</f>
        <v>42</v>
      </c>
      <c r="P75" s="95">
        <f>AVERAGEIFS(AllDataApr[Nitrate (PPM)], AllDataApr[Region], $F75, AllDataApr[River], $G75, AllDataApr[Season], O$62)</f>
        <v>6.9761904761904763</v>
      </c>
      <c r="Q75" s="97">
        <f t="shared" si="22"/>
        <v>-1.5582587469238927E-2</v>
      </c>
      <c r="R75" s="96">
        <f>AVERAGEIFS(AllDataApr[Phosphate (PPM)], AllDataApr[Region], $F75, AllDataApr[River], $G75, AllDataApr[Season], O62)</f>
        <v>0.60642857142857121</v>
      </c>
      <c r="S75" s="99">
        <f t="shared" si="23"/>
        <v>8.8841974138818891E-2</v>
      </c>
      <c r="T75" s="94">
        <f>COUNTIFS(AllDataApr[Region], $F$75, AllDataApr[River], $G75,AllDataApr[Season],"Autumn")</f>
        <v>76</v>
      </c>
      <c r="U75" s="95">
        <f>AVERAGEIFS(AllDataApr[Nitrate (PPM)], AllDataApr[Region], $F75, AllDataApr[River], $G75, AllDataApr[Season], T$62)</f>
        <v>7.0419999999999998</v>
      </c>
      <c r="V75" s="97">
        <f t="shared" si="20"/>
        <v>-6.2961378848190889E-3</v>
      </c>
      <c r="W75" s="96">
        <f>AVERAGEIFS(AllDataApr[Phosphate (PPM)], AllDataApr[Region], $F75, AllDataApr[River], $G75, AllDataApr[Season], T62)</f>
        <v>0.6367105263157895</v>
      </c>
      <c r="X75" s="99">
        <f t="shared" si="21"/>
        <v>0.14321319787998968</v>
      </c>
      <c r="Y75" s="94">
        <f>COUNTIFS(AllDataApr[Region], $F$75, AllDataApr[River], $G75,AllDataApr[Season],"Winter")</f>
        <v>63</v>
      </c>
      <c r="Z75" s="95">
        <f>AVERAGEIFS(AllDataApr[Nitrate (PPM)], AllDataApr[Region], $F75, AllDataApr[River], $G75, AllDataApr[Season], Y$62)</f>
        <v>7.5555555555555554</v>
      </c>
      <c r="AA75" s="97">
        <f t="shared" si="16"/>
        <v>6.6172214709083618E-2</v>
      </c>
      <c r="AB75" s="96">
        <f>AVERAGEIFS(AllDataApr[Phosphate (PPM)], AllDataApr[Region], $F75, AllDataApr[River], $G75, AllDataApr[Season], Y62)</f>
        <v>0.55238095238095253</v>
      </c>
      <c r="AC75" s="97">
        <f t="shared" si="17"/>
        <v>-8.2004789940866071E-3</v>
      </c>
      <c r="AD75" s="94">
        <f>COUNTIFS(AllDataApr[Region], $F$75, AllDataApr[River], $G75,AllDataApr[Season],"Spring")</f>
        <v>44</v>
      </c>
      <c r="AE75" s="95">
        <f>AVERAGEIFS(AllDataApr[Nitrate (PPM)], AllDataApr[Region], $F75, AllDataApr[River], $G75, AllDataApr[Season], "Spring")</f>
        <v>6.7727272727272725</v>
      </c>
      <c r="AF75" s="97">
        <f t="shared" si="18"/>
        <v>-4.4293489355025986E-2</v>
      </c>
      <c r="AG75" s="96">
        <f>AVERAGEIFS(AllDataApr[Phosphate (PPM)], AllDataApr[Region], $F75, AllDataApr[River], $G75, AllDataApr[Season], "Spring")</f>
        <v>0.43227272727272725</v>
      </c>
      <c r="AH75" s="100">
        <f t="shared" si="19"/>
        <v>-0.22385469302472216</v>
      </c>
    </row>
    <row r="76" spans="5:34" x14ac:dyDescent="0.3">
      <c r="E76" s="45"/>
      <c r="F76" s="92"/>
      <c r="G76" s="92" t="s">
        <v>1037</v>
      </c>
      <c r="H76" s="94">
        <f>COUNTIFS(AllDataApr[Region], $F$75, AllDataApr[River], $G76)</f>
        <v>18</v>
      </c>
      <c r="I76" s="85">
        <f t="shared" si="14"/>
        <v>5.3441558441558445</v>
      </c>
      <c r="J76" s="86">
        <f t="shared" si="15"/>
        <v>0.53688311688311696</v>
      </c>
      <c r="K76" s="97" cm="1">
        <f t="array" ref="K76">SUM(COUNTIFS(AllDataApr[Region], F75, AllDataApr[River], G76, AllDataApr[Nitrate Pollution Category], {"High","Very high"}))/COUNTIFS(AllDataApr[Region], F75, AllDataApr[River], G76, AllDataApr[Nitrate (PPM)], "&lt;&gt;0")</f>
        <v>1</v>
      </c>
      <c r="L76" s="97" cm="1">
        <f t="array" ref="L76">SUM(COUNTIFS(AllDataApr[Region], F75, AllDataApr[River], G76, AllDataApr[Phosphate Pollution Category], {"High","Very high"}))/COUNTIFS(AllDataApr[Region], F75, AllDataApr[River], G76, AllDataApr[Phosphate (PPM)], "&lt;&gt;0")</f>
        <v>1</v>
      </c>
      <c r="M76" s="98"/>
      <c r="N76" s="98"/>
      <c r="O76" s="94">
        <f>COUNTIFS(AllDataApr[Region], $F$75, AllDataApr[River], $G76,AllDataApr[Season],"Summer")</f>
        <v>0</v>
      </c>
      <c r="P76" s="95"/>
      <c r="Q76" s="95"/>
      <c r="R76" s="96"/>
      <c r="S76" s="96"/>
      <c r="T76" s="94">
        <f>COUNTIFS(AllDataApr[Region], $F$75, AllDataApr[River], $G76,AllDataApr[Season],"Autumn")</f>
        <v>0</v>
      </c>
      <c r="U76" s="95"/>
      <c r="V76" s="97"/>
      <c r="W76" s="96"/>
      <c r="X76" s="99"/>
      <c r="Y76" s="94">
        <f>COUNTIFS(AllDataApr[Region], $F$75, AllDataApr[River], $G76,AllDataApr[Season],"Winter")</f>
        <v>7</v>
      </c>
      <c r="Z76" s="95">
        <f>AVERAGEIFS(AllDataApr[Nitrate (PPM)], AllDataApr[Region], $F75, AllDataApr[River], $G76, AllDataApr[Season], Y$62)</f>
        <v>6.1428571428571432</v>
      </c>
      <c r="AA76" s="97">
        <f t="shared" si="16"/>
        <v>0.14945321992709598</v>
      </c>
      <c r="AB76" s="96">
        <f>AVERAGEIFS(AllDataApr[Phosphate (PPM)], AllDataApr[Region], $F75, AllDataApr[River], $G76, AllDataApr[Season], Y62)</f>
        <v>0.61285714285714288</v>
      </c>
      <c r="AC76" s="97">
        <f t="shared" si="17"/>
        <v>0.14150943396226401</v>
      </c>
      <c r="AD76" s="94">
        <f>COUNTIFS(AllDataApr[Region], $F$75, AllDataApr[River], $G76,AllDataApr[Season],"Spring")</f>
        <v>11</v>
      </c>
      <c r="AE76" s="95">
        <f>AVERAGEIFS(AllDataApr[Nitrate (PPM)], AllDataApr[Region], $F75, AllDataApr[River], $G76, AllDataApr[Season], "Spring")</f>
        <v>4.5454545454545459</v>
      </c>
      <c r="AF76" s="97">
        <f t="shared" si="18"/>
        <v>-0.14945321992709598</v>
      </c>
      <c r="AG76" s="96">
        <f>AVERAGEIFS(AllDataApr[Phosphate (PPM)], AllDataApr[Region], $F75, AllDataApr[River], $G76, AllDataApr[Season], "Spring")</f>
        <v>0.46090909090909093</v>
      </c>
      <c r="AH76" s="100">
        <f t="shared" si="19"/>
        <v>-0.14150943396226423</v>
      </c>
    </row>
    <row r="77" spans="5:34" x14ac:dyDescent="0.3">
      <c r="E77" s="45"/>
      <c r="F77" s="92"/>
      <c r="G77" s="92" t="s">
        <v>1038</v>
      </c>
      <c r="H77" s="94">
        <f>COUNTIFS(AllDataApr[Region], $F$75, AllDataApr[River], $G77)</f>
        <v>18</v>
      </c>
      <c r="I77" s="85">
        <f t="shared" si="14"/>
        <v>6.7922077922077921</v>
      </c>
      <c r="J77" s="86">
        <f t="shared" si="15"/>
        <v>0.59045454545454545</v>
      </c>
      <c r="K77" s="97" cm="1">
        <f t="array" ref="K77">SUM(COUNTIFS(AllDataApr[Region], F75, AllDataApr[River], G77, AllDataApr[Nitrate Pollution Category], {"High","Very high"}))/COUNTIFS(AllDataApr[Region], F75, AllDataApr[River], G77, AllDataApr[Nitrate (PPM)], "&lt;&gt;0")</f>
        <v>1</v>
      </c>
      <c r="L77" s="97" cm="1">
        <f t="array" ref="L77">SUM(COUNTIFS(AllDataApr[Region], F75, AllDataApr[River], G77, AllDataApr[Phosphate Pollution Category], {"High","Very high"}))/COUNTIFS(AllDataApr[Region], F75, AllDataApr[River], G77, AllDataApr[Phosphate (PPM)], "&lt;&gt;0")</f>
        <v>1</v>
      </c>
      <c r="M77" s="98"/>
      <c r="N77" s="98"/>
      <c r="O77" s="94">
        <f>COUNTIFS(AllDataApr[Region], $F$75, AllDataApr[River], $G77,AllDataApr[Season],"Summer")</f>
        <v>0</v>
      </c>
      <c r="P77" s="95"/>
      <c r="Q77" s="95"/>
      <c r="R77" s="96"/>
      <c r="S77" s="96"/>
      <c r="T77" s="94">
        <f>COUNTIFS(AllDataApr[Region], $F$75, AllDataApr[River], $G77,AllDataApr[Season],"Autumn")</f>
        <v>0</v>
      </c>
      <c r="U77" s="95"/>
      <c r="V77" s="97"/>
      <c r="W77" s="96"/>
      <c r="X77" s="99"/>
      <c r="Y77" s="94">
        <f>COUNTIFS(AllDataApr[Region], $F$75, AllDataApr[River], $G77,AllDataApr[Season],"Winter")</f>
        <v>7</v>
      </c>
      <c r="Z77" s="95">
        <f>AVERAGEIFS(AllDataApr[Nitrate (PPM)], AllDataApr[Region], $F75, AllDataApr[River], $G77, AllDataApr[Season], Y$62)</f>
        <v>7.8571428571428568</v>
      </c>
      <c r="AA77" s="97">
        <f t="shared" si="16"/>
        <v>0.15678776290630972</v>
      </c>
      <c r="AB77" s="96">
        <f>AVERAGEIFS(AllDataApr[Phosphate (PPM)], AllDataApr[Region],$F75, AllDataApr[River], $G77, AllDataApr[Season], Y62)</f>
        <v>0.55999999999999994</v>
      </c>
      <c r="AC77" s="97">
        <f t="shared" si="17"/>
        <v>-5.1578137028483545E-2</v>
      </c>
      <c r="AD77" s="94">
        <f>COUNTIFS(AllDataApr[Region], $F$75, AllDataApr[River], $G77,AllDataApr[Season],"Spring")</f>
        <v>11</v>
      </c>
      <c r="AE77" s="95">
        <f>AVERAGEIFS(AllDataApr[Nitrate (PPM)], AllDataApr[Region], $F75, AllDataApr[River], $G77, AllDataApr[Season], "Spring")</f>
        <v>5.7272727272727275</v>
      </c>
      <c r="AF77" s="97">
        <f t="shared" si="18"/>
        <v>-0.15678776290630972</v>
      </c>
      <c r="AG77" s="96">
        <f>AVERAGEIFS(AllDataApr[Phosphate (PPM)], AllDataApr[Region],$F75, AllDataApr[River], $G77, AllDataApr[Season], "Spring")</f>
        <v>0.62090909090909097</v>
      </c>
      <c r="AH77" s="100">
        <f t="shared" si="19"/>
        <v>5.1578137028483545E-2</v>
      </c>
    </row>
    <row r="78" spans="5:34" x14ac:dyDescent="0.3">
      <c r="E78" s="45"/>
      <c r="F78" s="92"/>
      <c r="G78" s="92" t="s">
        <v>192</v>
      </c>
      <c r="H78" s="94">
        <f>COUNTIFS(AllDataApr[Region], $F$75, AllDataApr[River], $G78)</f>
        <v>69</v>
      </c>
      <c r="I78" s="85">
        <f t="shared" si="14"/>
        <v>5.6755043859649117</v>
      </c>
      <c r="J78" s="86">
        <f t="shared" si="15"/>
        <v>0.3805664473684211</v>
      </c>
      <c r="K78" s="97" cm="1">
        <f t="array" ref="K78">SUM(COUNTIFS(AllDataApr[Region], F75, AllDataApr[River], G78, AllDataApr[Nitrate Pollution Category], {"High","Very high"}))/COUNTIFS(AllDataApr[Region], F75, AllDataApr[River], G78, AllDataApr[Nitrate (PPM)], "&lt;&gt;0")</f>
        <v>1</v>
      </c>
      <c r="L78" s="97" cm="1">
        <f t="array" ref="L78">SUM(COUNTIFS(AllDataApr[Region], F75, AllDataApr[River], G78, AllDataApr[Phosphate Pollution Category], {"High","Very high"}))/COUNTIFS(AllDataApr[Region], F75, AllDataApr[River], G78, AllDataApr[Phosphate (PPM)], "&lt;&gt;0")</f>
        <v>1</v>
      </c>
      <c r="M78" s="98"/>
      <c r="N78" s="98"/>
      <c r="O78" s="94">
        <f>COUNTIFS(AllDataApr[Region], $F$75, AllDataApr[River], $G78,AllDataApr[Season],"Summer")</f>
        <v>1</v>
      </c>
      <c r="P78" s="95">
        <f>AVERAGEIFS(AllDataApr[Nitrate (PPM)], AllDataApr[Region],$F75, AllDataApr[River], $G78, AllDataApr[Season], O$62)</f>
        <v>5</v>
      </c>
      <c r="Q78" s="97">
        <f t="shared" si="22"/>
        <v>-0.11902103144090284</v>
      </c>
      <c r="R78" s="96">
        <f>AVERAGEIFS(AllDataApr[Phosphate (PPM)], AllDataApr[Region], $F75, AllDataApr[River],$G78, AllDataApr[Season], O62)</f>
        <v>0.55000000000000004</v>
      </c>
      <c r="S78" s="99">
        <f t="shared" si="23"/>
        <v>0.44521411123653964</v>
      </c>
      <c r="T78" s="94">
        <f>COUNTIFS(AllDataApr[Region], $F$75, AllDataApr[River], $G78,AllDataApr[Season],"Autumn")</f>
        <v>19</v>
      </c>
      <c r="U78" s="95">
        <f>AVERAGEIFS(AllDataApr[Nitrate (PPM)], AllDataApr[Region],$F75, AllDataApr[River], $G78, AllDataApr[Season], T$62)</f>
        <v>5.4736842105263159</v>
      </c>
      <c r="V78" s="97">
        <f t="shared" si="20"/>
        <v>-3.5559865998462024E-2</v>
      </c>
      <c r="W78" s="96">
        <f>AVERAGEIFS(AllDataApr[Phosphate (PPM)], AllDataApr[Region], $F75, AllDataApr[River],$G78, AllDataApr[Season], T62)</f>
        <v>0.4263157894736842</v>
      </c>
      <c r="X78" s="99">
        <f t="shared" si="21"/>
        <v>0.1202138087096622</v>
      </c>
      <c r="Y78" s="94">
        <f>COUNTIFS(AllDataApr[Region], $F$75, AllDataApr[River], $G78,AllDataApr[Season],"Winter")</f>
        <v>25</v>
      </c>
      <c r="Z78" s="95">
        <f>AVERAGEIFS(AllDataApr[Nitrate (PPM)], AllDataApr[Region],$F75, AllDataApr[River], $G78, AllDataApr[Season], Y$62)</f>
        <v>5.52</v>
      </c>
      <c r="AA78" s="97">
        <f t="shared" si="16"/>
        <v>-2.7399218710756804E-2</v>
      </c>
      <c r="AB78" s="96">
        <f>AVERAGEIFS(AllDataApr[Phosphate (PPM)], AllDataApr[Region], $F75, AllDataApr[River],$G78, AllDataApr[Season], Y62)</f>
        <v>0.29720000000000002</v>
      </c>
      <c r="AC78" s="97">
        <f t="shared" si="17"/>
        <v>-0.21905884752818258</v>
      </c>
      <c r="AD78" s="94">
        <f>COUNTIFS(AllDataApr[Region], $F$75, AllDataApr[River], $G78,AllDataApr[Season],"Spring")</f>
        <v>24</v>
      </c>
      <c r="AE78" s="95">
        <f>AVERAGEIFS(AllDataApr[Nitrate (PPM)], AllDataApr[Region],$F75, AllDataApr[River], $G78, AllDataApr[Season], "Spring")</f>
        <v>6.708333333333333</v>
      </c>
      <c r="AF78" s="97">
        <f t="shared" si="18"/>
        <v>0.18198011615012197</v>
      </c>
      <c r="AG78" s="96">
        <f>AVERAGEIFS(AllDataApr[Phosphate (PPM)], AllDataApr[Region], $F75, AllDataApr[River],$G78, AllDataApr[Season], "Spring")</f>
        <v>0.24875</v>
      </c>
      <c r="AH78" s="100">
        <f t="shared" si="19"/>
        <v>-0.34636907241801962</v>
      </c>
    </row>
    <row r="79" spans="5:34" s="103" customFormat="1" x14ac:dyDescent="0.3">
      <c r="E79" s="107"/>
      <c r="F79" s="118"/>
      <c r="G79" s="118" t="s">
        <v>1061</v>
      </c>
      <c r="H79" s="119">
        <f>COUNTIF(AllDataApr[Region], $F$75)</f>
        <v>330</v>
      </c>
      <c r="I79" s="111">
        <f t="shared" si="14"/>
        <v>6.7477950676394585</v>
      </c>
      <c r="J79" s="112">
        <f t="shared" si="15"/>
        <v>0.52603663770689835</v>
      </c>
      <c r="K79" s="120" cm="1">
        <f t="array" ref="K79">SUM(COUNTIFS(AllDataApr[Region], F75, AllDataApr[Nitrate Pollution Category], {"High","Very high"}))/COUNTIFS(AllDataApr[Region], F75, AllDataApr[Nitrate (PPM)], "&lt;&gt;0")</f>
        <v>0.9939393939393939</v>
      </c>
      <c r="L79" s="120" cm="1">
        <f t="array" ref="L79">SUM(COUNTIFS(AllDataApr[Region], F75, AllDataApr[Nitrate Pollution Category], {"High","Very high"}))/COUNTIFS(AllDataApr[Region], F75, AllDataApr[Nitrate (PPM)], "&lt;&gt;0")</f>
        <v>0.9939393939393939</v>
      </c>
      <c r="M79" s="121">
        <v>1</v>
      </c>
      <c r="N79" s="121">
        <v>5</v>
      </c>
      <c r="O79" s="119">
        <f>COUNTIFS(AllDataApr[Region], $F$75,AllDataApr[Season],"Summer")</f>
        <v>43</v>
      </c>
      <c r="P79" s="122">
        <f>AVERAGEIFS(AllDataApr[Nitrate (PPM)], AllDataApr[Region], $F75, AllDataApr[Season], O$62)</f>
        <v>6.9302325581395348</v>
      </c>
      <c r="Q79" s="120">
        <f t="shared" si="22"/>
        <v>2.7036608058089311E-2</v>
      </c>
      <c r="R79" s="123">
        <f>AVERAGEIFS(AllDataApr[Phosphate (PPM)], AllDataApr[Region], $F75, AllDataApr[Season], O62)</f>
        <v>0.60511627906976728</v>
      </c>
      <c r="S79" s="124">
        <f t="shared" si="23"/>
        <v>0.150331052429339</v>
      </c>
      <c r="T79" s="119">
        <f>COUNTIFS(AllDataApr[Region], $F$75,AllDataApr[Season],"Autumn")</f>
        <v>95</v>
      </c>
      <c r="U79" s="122">
        <f>AVERAGEIFS(AllDataApr[Nitrate (PPM)], AllDataApr[Region], $F75, AllDataApr[Season], T$62)</f>
        <v>6.7249999999999996</v>
      </c>
      <c r="V79" s="120">
        <f t="shared" si="20"/>
        <v>-3.3781505530269588E-3</v>
      </c>
      <c r="W79" s="123">
        <f>AVERAGEIFS(AllDataApr[Phosphate (PPM)], AllDataApr[Region], $F75, AllDataApr[Season], T62)</f>
        <v>0.59463157894736862</v>
      </c>
      <c r="X79" s="124">
        <f t="shared" si="21"/>
        <v>0.13039955076036092</v>
      </c>
      <c r="Y79" s="119">
        <f>COUNTIFS(AllDataApr[Region], $F$75,AllDataApr[Season],"Winter")</f>
        <v>102</v>
      </c>
      <c r="Z79" s="122">
        <f>AVERAGEIFS(AllDataApr[Nitrate (PPM)], AllDataApr[Region], $F75, AllDataApr[Season], Y$62)</f>
        <v>6.9803921568627452</v>
      </c>
      <c r="AA79" s="120">
        <f t="shared" si="16"/>
        <v>3.4470087916385818E-2</v>
      </c>
      <c r="AB79" s="123">
        <f>AVERAGEIFS(AllDataApr[Phosphate (PPM)], AllDataApr[Region], $F75, AllDataApr[Season], Y62)</f>
        <v>0.49450980392156868</v>
      </c>
      <c r="AC79" s="120">
        <f t="shared" si="17"/>
        <v>-5.9932771836504785E-2</v>
      </c>
      <c r="AD79" s="119">
        <f>COUNTIFS(AllDataApr[Region], $F$75,AllDataApr[Season],"Spring")</f>
        <v>90</v>
      </c>
      <c r="AE79" s="122">
        <f>AVERAGEIFS(AllDataApr[Nitrate (PPM)], AllDataApr[Region], $F75, AllDataApr[Season], "Spring")</f>
        <v>6.3555555555555552</v>
      </c>
      <c r="AF79" s="120">
        <f t="shared" si="18"/>
        <v>-5.8128545421448033E-2</v>
      </c>
      <c r="AG79" s="123">
        <f>AVERAGEIFS(AllDataApr[Phosphate (PPM)], AllDataApr[Region], $F75, AllDataApr[Season], "Spring")</f>
        <v>0.40988888888888891</v>
      </c>
      <c r="AH79" s="141">
        <f t="shared" si="19"/>
        <v>-0.22079783135319492</v>
      </c>
    </row>
    <row r="80" spans="5:34" x14ac:dyDescent="0.3">
      <c r="E80" s="45"/>
      <c r="F80" s="82" t="s">
        <v>187</v>
      </c>
      <c r="G80" s="83" t="s">
        <v>191</v>
      </c>
      <c r="H80" s="84">
        <f>COUNTIFS(AllDataApr[Region], $F$80, AllDataApr[River], $G80)</f>
        <v>88</v>
      </c>
      <c r="I80" s="85">
        <f t="shared" si="14"/>
        <v>7.7472925722925723</v>
      </c>
      <c r="J80" s="86">
        <f t="shared" si="15"/>
        <v>0.82255042705042702</v>
      </c>
      <c r="K80" s="87" cm="1">
        <f t="array" ref="K80">SUM(COUNTIFS(AllDataApr[Region], F80, AllDataApr[River], G80, AllDataApr[Nitrate Pollution Category], {"High","Very high"}))/COUNTIFS(AllDataApr[Region], F80, AllDataApr[River], G80, AllDataApr[Nitrate (PPM)], "&lt;&gt;0")</f>
        <v>0.98863636363636365</v>
      </c>
      <c r="L80" s="87" cm="1">
        <f t="array" ref="L80">SUM(COUNTIFS(AllDataApr[Region], F80, AllDataApr[River], G80, AllDataApr[Phosphate Pollution Category], {"High","Very high"}))/COUNTIFS(AllDataApr[Region], F80, AllDataApr[River], G80, AllDataApr[Phosphate (PPM)], "&lt;&gt;0")</f>
        <v>0.98863636363636365</v>
      </c>
      <c r="M80" s="88"/>
      <c r="N80" s="88"/>
      <c r="O80" s="84">
        <f>COUNTIFS(AllDataApr[Region], $F$80, AllDataApr[River], $G80,AllDataApr[Season],"Summer")</f>
        <v>14</v>
      </c>
      <c r="P80" s="85">
        <f>AVERAGEIFS(AllDataApr[Nitrate (PPM)], AllDataApr[Region], $F80, AllDataApr[River], $G80, AllDataApr[Season], O$62)</f>
        <v>8.9230769230769234</v>
      </c>
      <c r="Q80" s="87">
        <f t="shared" si="22"/>
        <v>0.15176712894378455</v>
      </c>
      <c r="R80" s="86">
        <f>AVERAGEIFS(AllDataApr[Phosphate (PPM)], AllDataApr[Region], $F80, AllDataApr[River], $G80, AllDataApr[Season], O62)</f>
        <v>1.0514285714285714</v>
      </c>
      <c r="S80" s="89">
        <f t="shared" si="23"/>
        <v>0.27825424053194592</v>
      </c>
      <c r="T80" s="84">
        <f>COUNTIFS(AllDataApr[Region], $F$80, AllDataApr[River], $G80,AllDataApr[Season],"Autumn")</f>
        <v>15</v>
      </c>
      <c r="U80" s="85">
        <f>AVERAGEIFS(AllDataApr[Nitrate (PPM)], AllDataApr[Region], $F80, AllDataApr[River], $G80, AllDataApr[Season], T$62)</f>
        <v>8.1999999999999993</v>
      </c>
      <c r="V80" s="87">
        <f t="shared" si="20"/>
        <v>5.8434275391443261E-2</v>
      </c>
      <c r="W80" s="86">
        <f>AVERAGEIFS(AllDataApr[Phosphate (PPM)], AllDataApr[Region], $F80, AllDataApr[River], $G80, AllDataApr[Season], T62)</f>
        <v>0.95533333333333337</v>
      </c>
      <c r="X80" s="89">
        <f t="shared" si="21"/>
        <v>0.16142828684564769</v>
      </c>
      <c r="Y80" s="84">
        <f>COUNTIFS(AllDataApr[Region], $F$80, AllDataApr[River], $G80,AllDataApr[Season],"Winter")</f>
        <v>22</v>
      </c>
      <c r="Z80" s="85">
        <f>AVERAGEIFS(AllDataApr[Nitrate (PPM)], AllDataApr[Region], $F80, AllDataApr[River], $G80, AllDataApr[Season], Y$62)</f>
        <v>6.1363636363636367</v>
      </c>
      <c r="AA80" s="87">
        <f t="shared" si="16"/>
        <v>-0.20793443914720144</v>
      </c>
      <c r="AB80" s="86">
        <f>AVERAGEIFS(AllDataApr[Phosphate (PPM)], AllDataApr[Region], $F80, AllDataApr[River], $G80, AllDataApr[Season], Y62)</f>
        <v>0.71181818181818179</v>
      </c>
      <c r="AC80" s="87">
        <f t="shared" si="17"/>
        <v>-0.13462061606279699</v>
      </c>
      <c r="AD80" s="84">
        <f>COUNTIFS(AllDataApr[Region], $F$80, AllDataApr[River], $G80,AllDataApr[Season],"Spring")</f>
        <v>37</v>
      </c>
      <c r="AE80" s="85">
        <f>AVERAGEIFS(AllDataApr[Nitrate (PPM)], AllDataApr[Region], $F80, AllDataApr[River], $G80, AllDataApr[Season], "Spring")</f>
        <v>7.7297297297297298</v>
      </c>
      <c r="AF80" s="87">
        <f t="shared" si="18"/>
        <v>-2.2669651880263611E-3</v>
      </c>
      <c r="AG80" s="86">
        <f>AVERAGEIFS(AllDataApr[Phosphate (PPM)], AllDataApr[Region], $F80, AllDataApr[River], $G80, AllDataApr[Season], "Spring")</f>
        <v>0.57162162162162167</v>
      </c>
      <c r="AH80" s="90">
        <f t="shared" si="19"/>
        <v>-0.30506191131479649</v>
      </c>
    </row>
    <row r="81" spans="2:34" x14ac:dyDescent="0.3">
      <c r="E81" s="45"/>
      <c r="F81" s="82"/>
      <c r="G81" s="83" t="s">
        <v>190</v>
      </c>
      <c r="H81" s="84">
        <f>COUNTIFS(AllDataApr[Region], $F$80, AllDataApr[River], $G81)</f>
        <v>53</v>
      </c>
      <c r="I81" s="85">
        <f t="shared" si="14"/>
        <v>5.9624963159445912</v>
      </c>
      <c r="J81" s="86">
        <f t="shared" si="15"/>
        <v>0.48553492484526972</v>
      </c>
      <c r="K81" s="87" cm="1">
        <f t="array" ref="K81">SUM(COUNTIFS(AllDataApr[Region], F80, AllDataApr[River], G81, AllDataApr[Nitrate Pollution Category], {"High","Very high"}))/COUNTIFS(AllDataApr[Region], F80, AllDataApr[River], G81, AllDataApr[Nitrate (PPM)], "&lt;&gt;0")</f>
        <v>1</v>
      </c>
      <c r="L81" s="87" cm="1">
        <f t="array" ref="L81">SUM(COUNTIFS(AllDataApr[Region], F80, AllDataApr[River], G81, AllDataApr[Phosphate Pollution Category], {"High","Very high"}))/COUNTIFS(AllDataApr[Region], F80, AllDataApr[River], G81, AllDataApr[Phosphate (PPM)], "&lt;&gt;0")</f>
        <v>1</v>
      </c>
      <c r="M81" s="88"/>
      <c r="N81" s="88"/>
      <c r="O81" s="84">
        <f>COUNTIFS(AllDataApr[Region], $F$80, AllDataApr[River], $G81,AllDataApr[Season],"Summer")</f>
        <v>2</v>
      </c>
      <c r="P81" s="85">
        <f>AVERAGEIFS(AllDataApr[Nitrate (PPM)], AllDataApr[Region], $F80, AllDataApr[River], $G81, AllDataApr[Season], O$62)</f>
        <v>6</v>
      </c>
      <c r="Q81" s="87">
        <f t="shared" si="22"/>
        <v>6.28992993339358E-3</v>
      </c>
      <c r="R81" s="86">
        <f>AVERAGEIFS(AllDataApr[Phosphate (PPM)], AllDataApr[Region], $F80, AllDataApr[River], $G81, AllDataApr[Season], O62)</f>
        <v>0.64</v>
      </c>
      <c r="S81" s="89">
        <f t="shared" si="23"/>
        <v>0.31813380922897611</v>
      </c>
      <c r="T81" s="84">
        <f>COUNTIFS(AllDataApr[Region], $F$80, AllDataApr[River], $G81,AllDataApr[Season],"Autumn")</f>
        <v>9</v>
      </c>
      <c r="U81" s="85">
        <f>AVERAGEIFS(AllDataApr[Nitrate (PPM)], AllDataApr[Region], $F80, AllDataApr[River], $G81, AllDataApr[Season], T$62)</f>
        <v>6.5555555555555554</v>
      </c>
      <c r="V81" s="87">
        <f t="shared" si="20"/>
        <v>9.9464923445744799E-2</v>
      </c>
      <c r="W81" s="86">
        <f>AVERAGEIFS(AllDataApr[Phosphate (PPM)], AllDataApr[Region], $F80, AllDataApr[River], $G81, AllDataApr[Season], T62)</f>
        <v>0.54333333333333345</v>
      </c>
      <c r="X81" s="89">
        <f t="shared" si="21"/>
        <v>0.11904068179334971</v>
      </c>
      <c r="Y81" s="84">
        <f>COUNTIFS(AllDataApr[Region], $F$80, AllDataApr[River], $G81,AllDataApr[Season],"Winter")</f>
        <v>13</v>
      </c>
      <c r="Z81" s="85">
        <f>AVERAGEIFS(AllDataApr[Nitrate (PPM)], AllDataApr[Region], $F80, AllDataApr[River], $G81, AllDataApr[Season], Y$62)</f>
        <v>4.8461538461538458</v>
      </c>
      <c r="AA81" s="87">
        <f t="shared" si="16"/>
        <v>-0.18722736428456679</v>
      </c>
      <c r="AB81" s="86">
        <f>AVERAGEIFS(AllDataApr[Phosphate (PPM)], AllDataApr[Region], $F80, AllDataApr[River], $G81, AllDataApr[Season], Y62)</f>
        <v>0.40846153846153849</v>
      </c>
      <c r="AC81" s="87">
        <f t="shared" si="17"/>
        <v>-0.15873911935025681</v>
      </c>
      <c r="AD81" s="84">
        <f>COUNTIFS(AllDataApr[Region], $F$80, AllDataApr[River], $G81,AllDataApr[Season],"Spring")</f>
        <v>29</v>
      </c>
      <c r="AE81" s="85">
        <f>AVERAGEIFS(AllDataApr[Nitrate (PPM)], AllDataApr[Region], $F80, AllDataApr[River], $G81, AllDataApr[Season], "Spring")</f>
        <v>6.4482758620689653</v>
      </c>
      <c r="AF81" s="87">
        <f t="shared" si="18"/>
        <v>8.1472510905428702E-2</v>
      </c>
      <c r="AG81" s="86">
        <f>AVERAGEIFS(AllDataApr[Phosphate (PPM)], AllDataApr[Region], $F80, AllDataApr[River], $G81, AllDataApr[Season], "Spring")</f>
        <v>0.35034482758620683</v>
      </c>
      <c r="AH81" s="90">
        <f t="shared" si="19"/>
        <v>-0.27843537167206928</v>
      </c>
    </row>
    <row r="82" spans="2:34" x14ac:dyDescent="0.3">
      <c r="E82" s="45"/>
      <c r="F82" s="82"/>
      <c r="G82" s="83" t="s">
        <v>193</v>
      </c>
      <c r="H82" s="84">
        <f>COUNTIFS(AllDataApr[Region], $F$80, AllDataApr[River], $G82)</f>
        <v>43</v>
      </c>
      <c r="I82" s="85">
        <f t="shared" si="14"/>
        <v>5.1439102564102566</v>
      </c>
      <c r="J82" s="86">
        <f t="shared" si="15"/>
        <v>0.55222377622377627</v>
      </c>
      <c r="K82" s="87" cm="1">
        <f t="array" ref="K82">SUM(COUNTIFS(AllDataApr[Region], F80, AllDataApr[River], G82, AllDataApr[Nitrate Pollution Category], {"High","Very high"}))/COUNTIFS(AllDataApr[Region], F80, AllDataApr[River], G82, AllDataApr[Nitrate (PPM)], "&lt;&gt;0")</f>
        <v>1</v>
      </c>
      <c r="L82" s="87" cm="1">
        <f t="array" ref="L82">SUM(COUNTIFS(AllDataApr[Region], F80, AllDataApr[River], G82, AllDataApr[Phosphate Pollution Category], {"High","Very high"}))/COUNTIFS(AllDataApr[Region], F80, AllDataApr[River], G82, AllDataApr[Phosphate (PPM)], "&lt;&gt;0")</f>
        <v>0.97674418604651159</v>
      </c>
      <c r="M82" s="88"/>
      <c r="N82" s="88"/>
      <c r="O82" s="84">
        <f>COUNTIFS(AllDataApr[Region], $F$80, AllDataApr[River], $G82,AllDataApr[Season],"Summer")</f>
        <v>5</v>
      </c>
      <c r="P82" s="85">
        <f>AVERAGEIFS(AllDataApr[Nitrate (PPM)], AllDataApr[Region], $F80, AllDataApr[River], $G82, AllDataApr[Season], O$62)</f>
        <v>7.8</v>
      </c>
      <c r="Q82" s="87">
        <f t="shared" si="22"/>
        <v>0.5163561592622592</v>
      </c>
      <c r="R82" s="86">
        <f>AVERAGEIFS(AllDataApr[Phosphate (PPM)], AllDataApr[Region], $F80, AllDataApr[River], $G82, AllDataApr[Season], O62)</f>
        <v>0.754</v>
      </c>
      <c r="S82" s="89">
        <f t="shared" si="23"/>
        <v>0.36538851180224891</v>
      </c>
      <c r="T82" s="84">
        <f>COUNTIFS(AllDataApr[Region], $F$80, AllDataApr[River], $G82,AllDataApr[Season],"Autumn")</f>
        <v>12</v>
      </c>
      <c r="U82" s="85">
        <f>AVERAGEIFS(AllDataApr[Nitrate (PPM)], AllDataApr[Region], $F80, AllDataApr[River], $G82, AllDataApr[Season], T$62)</f>
        <v>5.083333333333333</v>
      </c>
      <c r="V82" s="87">
        <f t="shared" si="20"/>
        <v>-1.1776434668826805E-2</v>
      </c>
      <c r="W82" s="86">
        <f>AVERAGEIFS(AllDataApr[Phosphate (PPM)], AllDataApr[Region], $F80, AllDataApr[River], $G82, AllDataApr[Season], T62)</f>
        <v>0.60181818181818181</v>
      </c>
      <c r="X82" s="89">
        <f t="shared" si="21"/>
        <v>8.9808530037483417E-2</v>
      </c>
      <c r="Y82" s="84">
        <f>COUNTIFS(AllDataApr[Region], $F$80, AllDataApr[River], $G82,AllDataApr[Season],"Winter")</f>
        <v>13</v>
      </c>
      <c r="Z82" s="85">
        <f>AVERAGEIFS(AllDataApr[Nitrate (PPM)], AllDataApr[Region], $F80, AllDataApr[River], $G82, AllDataApr[Season], Y$62)</f>
        <v>3.7692307692307692</v>
      </c>
      <c r="AA82" s="87">
        <f t="shared" si="16"/>
        <v>-0.26724406505078202</v>
      </c>
      <c r="AB82" s="86">
        <f>AVERAGEIFS(AllDataApr[Phosphate (PPM)], AllDataApr[Region], $F80, AllDataApr[River], $G82, AllDataApr[Season], Y62)</f>
        <v>0.44307692307692303</v>
      </c>
      <c r="AC82" s="87">
        <f t="shared" si="17"/>
        <v>-0.19764968088339596</v>
      </c>
      <c r="AD82" s="84">
        <f>COUNTIFS(AllDataApr[Region], $F$80, AllDataApr[River], $G82,AllDataApr[Season],"Spring")</f>
        <v>13</v>
      </c>
      <c r="AE82" s="85">
        <f>AVERAGEIFS(AllDataApr[Nitrate (PPM)], AllDataApr[Region], $F80, AllDataApr[River], $G82, AllDataApr[Season], "Spring")</f>
        <v>3.9230769230769229</v>
      </c>
      <c r="AF82" s="87">
        <f t="shared" si="18"/>
        <v>-0.23733565954265068</v>
      </c>
      <c r="AG82" s="86">
        <f>AVERAGEIFS(AllDataApr[Phosphate (PPM)], AllDataApr[Region], $F80, AllDataApr[River], $G82, AllDataApr[Season], "Spring")</f>
        <v>0.41000000000000003</v>
      </c>
      <c r="AH82" s="90">
        <f t="shared" si="19"/>
        <v>-0.25754736095633673</v>
      </c>
    </row>
    <row r="83" spans="2:34" hidden="1" x14ac:dyDescent="0.3">
      <c r="E83" s="45"/>
      <c r="F83" s="82"/>
      <c r="G83" s="83"/>
      <c r="H83" s="84"/>
      <c r="I83" s="85" t="e">
        <f t="shared" si="14"/>
        <v>#DIV/0!</v>
      </c>
      <c r="J83" s="86" t="e">
        <f t="shared" si="15"/>
        <v>#DIV/0!</v>
      </c>
      <c r="K83" s="87" cm="1">
        <f t="array" ref="K83">SUM(COUNTIFS(AllDataApr[Region], F80, AllDataApr[Nitrate Pollution Category], {"High","Very high"}))/COUNTIFS(AllDataApr[Region], F80, AllDataApr[Nitrate (PPM)], "&lt;&gt;0")</f>
        <v>0.99456521739130432</v>
      </c>
      <c r="L83" s="87" cm="1">
        <f t="array" ref="L83">SUM(COUNTIFS(AllDataApr[Region], F80, AllDataApr[Phosphate Pollution Category], {"High","Very high"}))/COUNTIFS(AllDataApr[Region], F80, AllDataApr[Phosphate (PPM)], "&lt;&gt;0")</f>
        <v>0.98913043478260865</v>
      </c>
      <c r="M83" s="88"/>
      <c r="N83" s="88"/>
      <c r="O83" s="84"/>
      <c r="P83" s="85" t="e">
        <f>AVERAGEIFS(AllDataApr[Nitrate (PPM)], AllDataApr[Region], M80)</f>
        <v>#DIV/0!</v>
      </c>
      <c r="Q83" s="87" t="str">
        <f t="shared" si="22"/>
        <v/>
      </c>
      <c r="R83" s="86" t="e">
        <f>AVERAGEIFS(AllDataApr[Phosphate (PPM)], AllDataApr[Region], N80)</f>
        <v>#DIV/0!</v>
      </c>
      <c r="S83" s="89" t="e">
        <f t="shared" si="23"/>
        <v>#DIV/0!</v>
      </c>
      <c r="T83" s="84"/>
      <c r="U83" s="85" t="e">
        <f>AVERAGEIFS(AllDataApr[Nitrate (PPM)], AllDataApr[Region], R80)</f>
        <v>#DIV/0!</v>
      </c>
      <c r="V83" s="87" t="e">
        <f t="shared" si="20"/>
        <v>#DIV/0!</v>
      </c>
      <c r="W83" s="86" t="e">
        <f>AVERAGEIFS(AllDataApr[Phosphate (PPM)], AllDataApr[Region], S80)</f>
        <v>#DIV/0!</v>
      </c>
      <c r="X83" s="89" t="e">
        <f t="shared" si="21"/>
        <v>#DIV/0!</v>
      </c>
      <c r="Y83" s="84"/>
      <c r="Z83" s="85" t="e">
        <f>AVERAGEIFS(AllDataApr[Nitrate (PPM)], AllDataApr[Region], W80)</f>
        <v>#DIV/0!</v>
      </c>
      <c r="AA83" s="87" t="e">
        <f t="shared" si="16"/>
        <v>#DIV/0!</v>
      </c>
      <c r="AB83" s="86" t="e">
        <f>AVERAGEIFS(AllDataApr[Phosphate (PPM)], AllDataApr[Region], X80)</f>
        <v>#DIV/0!</v>
      </c>
      <c r="AC83" s="87" t="e">
        <f t="shared" si="17"/>
        <v>#DIV/0!</v>
      </c>
      <c r="AD83" s="84"/>
      <c r="AE83" s="85" t="e">
        <f>AVERAGEIFS(AllDataApr[Nitrate (PPM)], AllDataApr[Region], AB80)</f>
        <v>#DIV/0!</v>
      </c>
      <c r="AF83" s="87" t="e">
        <f t="shared" si="18"/>
        <v>#DIV/0!</v>
      </c>
      <c r="AG83" s="86" t="e">
        <f>AVERAGEIFS(AllDataApr[Phosphate (PPM)], AllDataApr[Region], AC80)</f>
        <v>#DIV/0!</v>
      </c>
      <c r="AH83" s="90" t="e">
        <f t="shared" si="19"/>
        <v>#DIV/0!</v>
      </c>
    </row>
    <row r="84" spans="2:34" s="103" customFormat="1" ht="15" thickBot="1" x14ac:dyDescent="0.35">
      <c r="E84" s="107"/>
      <c r="F84" s="125"/>
      <c r="G84" s="126" t="s">
        <v>1061</v>
      </c>
      <c r="H84" s="127">
        <f>COUNTIF(AllDataApr[Region], $F$80)</f>
        <v>184</v>
      </c>
      <c r="I84" s="128">
        <f t="shared" si="14"/>
        <v>6.7196861814345992</v>
      </c>
      <c r="J84" s="129">
        <f t="shared" si="15"/>
        <v>0.67509668851717897</v>
      </c>
      <c r="K84" s="130" cm="1">
        <f t="array" ref="K84">SUM(COUNTIFS(AllDataApr[Region], F80, AllDataApr[Nitrate Pollution Category], {"High","Very high"}))/COUNTIFS(AllDataApr[Region], F80, AllDataApr[Nitrate (PPM)], "&lt;&gt;0")</f>
        <v>0.99456521739130432</v>
      </c>
      <c r="L84" s="130" cm="1">
        <f t="array" ref="L84">SUM(COUNTIFS(AllDataApr[Region], F80, AllDataApr[Phosphate Pollution Category], {"High","Very high"}))/COUNTIFS(AllDataApr[Region], F80, AllDataApr[Phosphate (PPM)], "&lt;&gt;0")</f>
        <v>0.98913043478260865</v>
      </c>
      <c r="M84" s="131">
        <v>2</v>
      </c>
      <c r="N84" s="132">
        <v>2</v>
      </c>
      <c r="O84" s="133">
        <f>COUNTIFS(AllDataApr[Region], $F$80,AllDataApr[Season],"Summer")</f>
        <v>21</v>
      </c>
      <c r="P84" s="134">
        <f>AVERAGEIFS(AllDataApr[Nitrate (PPM)], AllDataApr[Region], $F80, AllDataApr[Season], O$62)</f>
        <v>8.35</v>
      </c>
      <c r="Q84" s="135">
        <f t="shared" si="22"/>
        <v>0.24261755304432112</v>
      </c>
      <c r="R84" s="136">
        <f>AVERAGEIFS(AllDataApr[Phosphate (PPM)], AllDataApr[Region], $F80, AllDataApr[Season], O62)</f>
        <v>0.94142857142857139</v>
      </c>
      <c r="S84" s="137">
        <f t="shared" si="23"/>
        <v>0.39450924207076032</v>
      </c>
      <c r="T84" s="133">
        <f>COUNTIFS(AllDataApr[Region], $F$80,AllDataApr[Season],"Autumn")</f>
        <v>36</v>
      </c>
      <c r="U84" s="134">
        <f>AVERAGEIFS(AllDataApr[Nitrate (PPM)], AllDataApr[Region], $F80, AllDataApr[Season], T$62)</f>
        <v>6.75</v>
      </c>
      <c r="V84" s="135">
        <f t="shared" si="20"/>
        <v>4.5111955747506455E-3</v>
      </c>
      <c r="W84" s="136">
        <f>AVERAGEIFS(AllDataApr[Phosphate (PPM)], AllDataApr[Region], $F80, AllDataApr[Season], T62)</f>
        <v>0.73828571428571432</v>
      </c>
      <c r="X84" s="137">
        <f t="shared" si="21"/>
        <v>9.3599964039710146E-2</v>
      </c>
      <c r="Y84" s="133">
        <f>COUNTIFS(AllDataApr[Region], $F$80,AllDataApr[Season],"Winter")</f>
        <v>48</v>
      </c>
      <c r="Z84" s="134">
        <f>AVERAGEIFS(AllDataApr[Nitrate (PPM)], AllDataApr[Region], $F80, AllDataApr[Season], Y$62)</f>
        <v>5.145833333333333</v>
      </c>
      <c r="AA84" s="135">
        <f t="shared" si="16"/>
        <v>-0.2342152305340636</v>
      </c>
      <c r="AB84" s="136">
        <f>AVERAGEIFS(AllDataApr[Phosphate (PPM)], AllDataApr[Region], $F80, AllDataApr[Season], Y62)</f>
        <v>0.55687500000000001</v>
      </c>
      <c r="AC84" s="135">
        <f t="shared" si="17"/>
        <v>-0.1751181579291225</v>
      </c>
      <c r="AD84" s="133">
        <f>COUNTIFS(AllDataApr[Region], $F$80,AllDataApr[Season],"Spring")</f>
        <v>79</v>
      </c>
      <c r="AE84" s="134">
        <f>AVERAGEIFS(AllDataApr[Nitrate (PPM)], AllDataApr[Region], $F80, AllDataApr[Season], "Spring")</f>
        <v>6.6329113924050631</v>
      </c>
      <c r="AF84" s="135">
        <f t="shared" si="18"/>
        <v>-1.29135180850083E-2</v>
      </c>
      <c r="AG84" s="136">
        <f>AVERAGEIFS(AllDataApr[Phosphate (PPM)], AllDataApr[Region], $F80, AllDataApr[Season], "Spring")</f>
        <v>0.46379746835443036</v>
      </c>
      <c r="AH84" s="138">
        <f t="shared" si="19"/>
        <v>-0.31299104818134765</v>
      </c>
    </row>
    <row r="85" spans="2:34" s="103" customFormat="1" ht="15.6" hidden="1" thickTop="1" thickBot="1" x14ac:dyDescent="0.35">
      <c r="E85" s="107"/>
      <c r="F85" s="101"/>
      <c r="G85" s="91"/>
      <c r="H85" s="102"/>
      <c r="I85" s="142"/>
      <c r="J85" s="143"/>
      <c r="K85" s="104"/>
      <c r="L85" s="104"/>
      <c r="M85" s="144"/>
      <c r="N85" s="145"/>
      <c r="O85" s="102"/>
      <c r="P85" s="142"/>
      <c r="Q85" s="104"/>
      <c r="R85" s="143"/>
      <c r="S85" s="105"/>
      <c r="T85" s="102"/>
      <c r="U85" s="142"/>
      <c r="V85" s="104"/>
      <c r="W85" s="143"/>
      <c r="X85" s="105"/>
      <c r="Y85" s="144"/>
      <c r="Z85" s="142"/>
      <c r="AA85" s="104"/>
      <c r="AB85" s="143"/>
      <c r="AC85" s="104"/>
      <c r="AD85" s="102"/>
      <c r="AE85" s="142"/>
      <c r="AF85" s="104"/>
      <c r="AG85" s="143"/>
      <c r="AH85" s="106"/>
    </row>
    <row r="86" spans="2:34" ht="21.6" thickTop="1" thickBot="1" x14ac:dyDescent="0.35">
      <c r="E86" s="45"/>
      <c r="F86" s="58"/>
      <c r="G86" s="108"/>
      <c r="H86" s="60">
        <f>SUM(H67,H71,H74,H79,H84)</f>
        <v>736</v>
      </c>
      <c r="I86" s="55">
        <f>AVERAGE(I67,I71,I74,I79,I84)</f>
        <v>5.3435967222021699</v>
      </c>
      <c r="J86" s="56">
        <f>AVERAGE(J67,J71,J74,J79,J84)</f>
        <v>0.61085988581901973</v>
      </c>
      <c r="K86" s="61" cm="1">
        <f t="array" ref="K86">SUM(COUNTIF(AllDataApr[Nitrate Pollution Category], {"High","Very high"}))/COUNTA(AllDataApr[Nitrate (PPM)])</f>
        <v>0.97404371584699456</v>
      </c>
      <c r="L86" s="61" cm="1">
        <f t="array" ref="L86">SUM(COUNTIF(AllDataApr[Phosphate Pollution Category], {"High","Very high"}))/COUNTA(AllDataApr[Phosphate (PPM)])</f>
        <v>0.99319727891156462</v>
      </c>
      <c r="M86" s="56"/>
      <c r="N86" s="56"/>
      <c r="O86" s="66">
        <f>COUNTIF(AllDataApr[Season], "Summer")</f>
        <v>65</v>
      </c>
      <c r="P86" s="67">
        <f>AVERAGE(P67,P71,P74,P79,P84)</f>
        <v>5.7600775193798448</v>
      </c>
      <c r="Q86" s="68">
        <f>(P86-I86)/I86</f>
        <v>7.7940162558906109E-2</v>
      </c>
      <c r="R86" s="69">
        <f>AVERAGE(R67,R71,R74,R79,R84)</f>
        <v>0.77551495016611283</v>
      </c>
      <c r="S86" s="70">
        <f>(R86-J86)/J86</f>
        <v>0.26954636925672293</v>
      </c>
      <c r="T86" s="66">
        <f>COUNTIF(AllDataApr[Season], "Autumn")</f>
        <v>158</v>
      </c>
      <c r="U86" s="67">
        <f>AVERAGE(U67,U71,U74,U79,U84)</f>
        <v>6.3955128205128204</v>
      </c>
      <c r="V86" s="68">
        <f>(U86-I86)/I86</f>
        <v>0.19685544269088134</v>
      </c>
      <c r="W86" s="69">
        <f>AVERAGE(W67,W71,W74,W79,W84)</f>
        <v>0.63418230762090422</v>
      </c>
      <c r="X86" s="70">
        <f>(W86-J86)/J86</f>
        <v>3.8179658450832127E-2</v>
      </c>
      <c r="Y86" s="146">
        <f>COUNTIF(AllDataApr[Season], "Winter")</f>
        <v>224</v>
      </c>
      <c r="Z86" s="67">
        <f>AVERAGE(Z67,Z71,Z74,Z79,Z84)</f>
        <v>5.3619117647058818</v>
      </c>
      <c r="AA86" s="68">
        <f>(Z86-I86)/I86</f>
        <v>3.4274746871549248E-3</v>
      </c>
      <c r="AB86" s="69">
        <f>AVERAGE(AB67,AB71,AB74,AB79,AB84)</f>
        <v>0.54606955337690621</v>
      </c>
      <c r="AC86" s="75">
        <f>(AB86-J86)/J86</f>
        <v>-0.10606414653541195</v>
      </c>
      <c r="AD86" s="66">
        <f>COUNTIF(AllDataApr[Season], "Spring")</f>
        <v>289</v>
      </c>
      <c r="AE86" s="67">
        <f>AVERAGE(AE67,AE71,AE74,AE79,AE84)</f>
        <v>4.8303907614370365</v>
      </c>
      <c r="AF86" s="68">
        <f>(AE86-I86)/I86</f>
        <v>-9.6041297172147766E-2</v>
      </c>
      <c r="AG86" s="69">
        <f>AVERAGE(AG67,AG71,AG74,AG79,AG84)</f>
        <v>0.59163734951267632</v>
      </c>
      <c r="AH86" s="75">
        <f>(AG86-J86)/J86</f>
        <v>-3.1467995775447746E-2</v>
      </c>
    </row>
    <row r="88" spans="2:34" ht="15" thickBot="1" x14ac:dyDescent="0.35"/>
    <row r="89" spans="2:34" x14ac:dyDescent="0.3">
      <c r="B89" s="205" t="s">
        <v>1077</v>
      </c>
      <c r="C89" s="205"/>
      <c r="D89" s="205"/>
      <c r="E89" s="205"/>
      <c r="F89" s="205"/>
      <c r="O89" s="182" t="s">
        <v>1082</v>
      </c>
      <c r="P89" s="183"/>
      <c r="Q89" s="183"/>
      <c r="R89" s="183"/>
      <c r="S89" s="183"/>
      <c r="T89" s="183"/>
      <c r="U89" s="183"/>
      <c r="V89" s="183"/>
      <c r="W89" s="183"/>
      <c r="X89" s="183"/>
      <c r="Y89" s="183"/>
      <c r="Z89" s="183"/>
      <c r="AA89" s="183"/>
      <c r="AB89" s="183"/>
      <c r="AC89" s="183"/>
      <c r="AD89" s="183"/>
      <c r="AE89" s="183"/>
      <c r="AF89" s="183"/>
      <c r="AG89" s="183"/>
      <c r="AH89" s="184"/>
    </row>
    <row r="90" spans="2:34" ht="15" thickBot="1" x14ac:dyDescent="0.35">
      <c r="B90" s="205"/>
      <c r="C90" s="205"/>
      <c r="D90" s="205"/>
      <c r="E90" s="205"/>
      <c r="F90" s="205"/>
      <c r="G90" s="14"/>
      <c r="H90" s="14"/>
      <c r="I90" s="14"/>
      <c r="J90" s="22"/>
      <c r="K90" s="22"/>
      <c r="L90" s="22"/>
      <c r="M90" s="22"/>
      <c r="N90" s="23"/>
      <c r="O90" s="206">
        <v>2023</v>
      </c>
      <c r="P90" s="207"/>
      <c r="Q90" s="207"/>
      <c r="R90" s="207"/>
      <c r="S90" s="207"/>
      <c r="T90" s="207"/>
      <c r="U90" s="207"/>
      <c r="V90" s="207"/>
      <c r="W90" s="207"/>
      <c r="X90" s="207"/>
      <c r="Y90" s="207"/>
      <c r="Z90" s="207"/>
      <c r="AA90" s="207"/>
      <c r="AB90" s="207"/>
      <c r="AC90" s="208"/>
      <c r="AD90" s="179">
        <v>2024</v>
      </c>
      <c r="AE90" s="180"/>
      <c r="AF90" s="180"/>
      <c r="AG90" s="180"/>
      <c r="AH90" s="181"/>
    </row>
    <row r="91" spans="2:34" ht="15" thickBot="1" x14ac:dyDescent="0.35">
      <c r="B91" s="14"/>
      <c r="C91" s="14"/>
      <c r="D91" s="14"/>
      <c r="E91" s="14"/>
      <c r="F91" s="14"/>
      <c r="G91" s="14"/>
      <c r="H91" s="182" t="s">
        <v>1058</v>
      </c>
      <c r="I91" s="183"/>
      <c r="J91" s="183"/>
      <c r="K91" s="183"/>
      <c r="L91" s="183"/>
      <c r="M91" s="183"/>
      <c r="N91" s="184"/>
      <c r="O91" s="185" t="s">
        <v>1044</v>
      </c>
      <c r="P91" s="186"/>
      <c r="Q91" s="186"/>
      <c r="R91" s="186"/>
      <c r="S91" s="187"/>
      <c r="T91" s="188" t="s">
        <v>1042</v>
      </c>
      <c r="U91" s="189"/>
      <c r="V91" s="189"/>
      <c r="W91" s="189"/>
      <c r="X91" s="190"/>
      <c r="Y91" s="191" t="s">
        <v>1043</v>
      </c>
      <c r="Z91" s="192"/>
      <c r="AA91" s="192"/>
      <c r="AB91" s="192"/>
      <c r="AC91" s="193"/>
      <c r="AD91" s="194" t="s">
        <v>1064</v>
      </c>
      <c r="AE91" s="195"/>
      <c r="AF91" s="195"/>
      <c r="AG91" s="195"/>
      <c r="AH91" s="196"/>
    </row>
    <row r="92" spans="2:34" ht="66.599999999999994" customHeight="1" x14ac:dyDescent="0.3">
      <c r="E92" s="45"/>
      <c r="F92" s="24" t="s">
        <v>1076</v>
      </c>
      <c r="G92" s="25" t="s">
        <v>186</v>
      </c>
      <c r="H92" s="26" t="s">
        <v>216</v>
      </c>
      <c r="I92" s="27" t="s">
        <v>1108</v>
      </c>
      <c r="J92" s="27" t="s">
        <v>1109</v>
      </c>
      <c r="K92" s="28" t="s">
        <v>1059</v>
      </c>
      <c r="L92" s="28" t="s">
        <v>1060</v>
      </c>
      <c r="M92" s="28" t="s">
        <v>1078</v>
      </c>
      <c r="N92" s="28" t="s">
        <v>1079</v>
      </c>
      <c r="O92" s="26" t="s">
        <v>216</v>
      </c>
      <c r="P92" s="27" t="s">
        <v>1108</v>
      </c>
      <c r="Q92" s="28" t="s">
        <v>1065</v>
      </c>
      <c r="R92" s="27" t="s">
        <v>1109</v>
      </c>
      <c r="S92" s="64" t="s">
        <v>1066</v>
      </c>
      <c r="T92" s="26" t="s">
        <v>216</v>
      </c>
      <c r="U92" s="27" t="s">
        <v>1108</v>
      </c>
      <c r="V92" s="28" t="s">
        <v>1065</v>
      </c>
      <c r="W92" s="27" t="s">
        <v>1109</v>
      </c>
      <c r="X92" s="64" t="s">
        <v>1066</v>
      </c>
      <c r="Y92" s="26" t="s">
        <v>216</v>
      </c>
      <c r="Z92" s="27" t="s">
        <v>1108</v>
      </c>
      <c r="AA92" s="28" t="s">
        <v>1065</v>
      </c>
      <c r="AB92" s="27" t="s">
        <v>1109</v>
      </c>
      <c r="AC92" s="64" t="s">
        <v>1066</v>
      </c>
      <c r="AD92" s="26" t="s">
        <v>216</v>
      </c>
      <c r="AE92" s="27" t="s">
        <v>1108</v>
      </c>
      <c r="AF92" s="28" t="s">
        <v>1065</v>
      </c>
      <c r="AG92" s="27" t="s">
        <v>1109</v>
      </c>
      <c r="AH92" s="73" t="s">
        <v>1066</v>
      </c>
    </row>
    <row r="93" spans="2:34" x14ac:dyDescent="0.3">
      <c r="D93" s="3"/>
      <c r="E93" s="165"/>
      <c r="F93" s="82" t="s">
        <v>191</v>
      </c>
      <c r="G93" s="82" t="s">
        <v>1035</v>
      </c>
      <c r="H93" s="84">
        <f>COUNTIFS(AllDataApr[River], $F$93, AllDataApr[Region], $G93)</f>
        <v>22</v>
      </c>
      <c r="I93" s="85">
        <f>AVERAGE(P93,U93,Z93,AE93)</f>
        <v>7.0555555555555554</v>
      </c>
      <c r="J93" s="86">
        <f>AVERAGE(R93,W93,AB93,AG93)</f>
        <v>0.55847222222222226</v>
      </c>
      <c r="K93" s="87" cm="1">
        <f t="array" ref="K93">SUM(COUNTIFS(AllDataApr[Region], G93, AllDataApr[River], F93, AllDataApr[Nitrate Pollution Category], {"High","Very high"}))/COUNTIFS(AllDataApr[Region], G93, AllDataApr[River], F93, AllDataApr[Nitrate (PPM)], "&lt;&gt;0")</f>
        <v>1</v>
      </c>
      <c r="L93" s="87" cm="1">
        <f t="array" ref="L93">SUM(COUNTIFS(AllDataApr[Region], G93, AllDataApr[River], F93, AllDataApr[Phosphate Pollution Category], {"High","Very high"}))/COUNTIFS(AllDataApr[Region], G93, AllDataApr[River], F93, AllDataApr[Phosphate (PPM)], "&lt;&gt;0")</f>
        <v>1</v>
      </c>
      <c r="M93" s="88"/>
      <c r="N93" s="88"/>
      <c r="O93" s="84">
        <f>COUNTIFS(AllDataApr[River], $F$93, AllDataApr[Region], $G93, AllDataApr[Season], O$91)</f>
        <v>0</v>
      </c>
      <c r="P93" s="85"/>
      <c r="Q93" s="87"/>
      <c r="R93" s="86"/>
      <c r="S93" s="87"/>
      <c r="T93" s="84">
        <f>COUNTIFS(AllDataApr[River], $F$93, AllDataApr[Region], $G93, AllDataApr[Season], T$91)</f>
        <v>0</v>
      </c>
      <c r="U93" s="85"/>
      <c r="V93" s="87"/>
      <c r="W93" s="86"/>
      <c r="X93" s="89"/>
      <c r="Y93" s="84">
        <f>COUNTIFS(AllDataApr[River], $F$93, AllDataApr[Region], $G93, AllDataApr[Season], Y$91)</f>
        <v>4</v>
      </c>
      <c r="Z93" s="85">
        <f>AVERAGEIFS(AllDataApr[Nitrate (PPM)], AllDataApr[River], $F93, AllDataApr[Region], $G93, AllDataApr[Season], Y$91)</f>
        <v>7.5</v>
      </c>
      <c r="AA93" s="87">
        <f>(Z93-$I93)/$I93</f>
        <v>6.2992125984251995E-2</v>
      </c>
      <c r="AB93" s="86">
        <f>AVERAGEIFS(AllDataApr[Phosphate (PPM)], AllDataApr[River], $F93, AllDataApr[Region], $G93, AllDataApr[Season], Y$91)</f>
        <v>0.59250000000000003</v>
      </c>
      <c r="AC93" s="87">
        <f>(AB93-$J93)/$J93</f>
        <v>6.0930116886346655E-2</v>
      </c>
      <c r="AD93" s="84">
        <f>COUNTIFS(AllDataApr[River], $F$93, AllDataApr[Region], $G93, AllDataApr[Season], "Spring")</f>
        <v>18</v>
      </c>
      <c r="AE93" s="85">
        <f>AVERAGEIFS(AllDataApr[Nitrate (PPM)], AllDataApr[River], $F93, AllDataApr[Region], $G93, AllDataApr[Season], "Spring")</f>
        <v>6.6111111111111107</v>
      </c>
      <c r="AF93" s="87">
        <f>(AE93-$I93)/$I93</f>
        <v>-6.2992125984251995E-2</v>
      </c>
      <c r="AG93" s="86">
        <f>AVERAGEIFS(AllDataApr[Phosphate (PPM)], AllDataApr[River], $F93, AllDataApr[Region], $G93, AllDataApr[Season], "Spring")</f>
        <v>0.52444444444444449</v>
      </c>
      <c r="AH93" s="90">
        <f>(AG93-$J93)/$J93</f>
        <v>-6.0930116886346655E-2</v>
      </c>
    </row>
    <row r="94" spans="2:34" x14ac:dyDescent="0.3">
      <c r="D94" s="3"/>
      <c r="E94" s="165"/>
      <c r="F94" s="82"/>
      <c r="G94" s="82" t="s">
        <v>185</v>
      </c>
      <c r="H94" s="84">
        <f>COUNTIFS(AllDataApr[River], $F$93, AllDataApr[Region], $G94)</f>
        <v>225</v>
      </c>
      <c r="I94" s="85">
        <f t="shared" ref="I94:I109" si="24">AVERAGE(P94,U94,Z94,AE94)</f>
        <v>7.0866183261183266</v>
      </c>
      <c r="J94" s="86">
        <f t="shared" ref="J94:J109" si="25">AVERAGE(R94,W94,AB94,AG94)</f>
        <v>0.55694819434951015</v>
      </c>
      <c r="K94" s="87" cm="1">
        <f t="array" ref="K94">SUM(COUNTIFS(AllDataApr[Region], G94, AllDataApr[River], F93, AllDataApr[Nitrate Pollution Category], {"High","Very high"}))/COUNTIFS(AllDataApr[Region], G94, AllDataApr[River], F93, AllDataApr[Nitrate (PPM)], "&lt;&gt;0")</f>
        <v>0.99111111111111116</v>
      </c>
      <c r="L94" s="87" cm="1">
        <f t="array" ref="L94">SUM(COUNTIFS(AllDataApr[Region], G94, AllDataApr[River], F93, AllDataApr[Phosphate Pollution Category], {"High","Very high"}))/COUNTIFS(AllDataApr[Region], G94, AllDataApr[River], F93, AllDataApr[Phosphate (PPM)], "&lt;&gt;0")</f>
        <v>1</v>
      </c>
      <c r="M94" s="88"/>
      <c r="N94" s="88"/>
      <c r="O94" s="84">
        <f>COUNTIFS(AllDataApr[River], $F$93, AllDataApr[Region], $G94, AllDataApr[Season], O$91)</f>
        <v>42</v>
      </c>
      <c r="P94" s="85">
        <f>AVERAGEIFS(AllDataApr[Nitrate (PPM)], AllDataApr[River], $F93, AllDataApr[Region], $G94, AllDataApr[Season], O$91)</f>
        <v>6.9761904761904763</v>
      </c>
      <c r="Q94" s="87">
        <f t="shared" ref="Q94:Q109" si="26">(P94-$I94)/$I94</f>
        <v>-1.5582587469238927E-2</v>
      </c>
      <c r="R94" s="86">
        <f>AVERAGEIFS(AllDataApr[Phosphate (PPM)], AllDataApr[River], $F93, AllDataApr[Region], $G94,AllDataApr[Season], O$91)</f>
        <v>0.60642857142857121</v>
      </c>
      <c r="S94" s="87">
        <f t="shared" ref="S94:S109" si="27">(R94-$J94)/$J94</f>
        <v>8.8841974138818891E-2</v>
      </c>
      <c r="T94" s="84">
        <f>COUNTIFS(AllDataApr[River], $F$93, AllDataApr[Region], $G94, AllDataApr[Season], T$91)</f>
        <v>76</v>
      </c>
      <c r="U94" s="85">
        <f>AVERAGEIFS(AllDataApr[Nitrate (PPM)], AllDataApr[River], $F93, AllDataApr[Region], $G94, AllDataApr[Season], T$91)</f>
        <v>7.0419999999999998</v>
      </c>
      <c r="V94" s="87">
        <f t="shared" ref="V94:V109" si="28">(U94-$I94)/$I94</f>
        <v>-6.2961378848190889E-3</v>
      </c>
      <c r="W94" s="86">
        <f>AVERAGEIFS(AllDataApr[Phosphate (PPM)], AllDataApr[River], $F93, AllDataApr[Region], $G94,AllDataApr[Season], T$91)</f>
        <v>0.6367105263157895</v>
      </c>
      <c r="X94" s="89">
        <f t="shared" ref="X94:X109" si="29">(W94-$J94)/$J94</f>
        <v>0.14321319787998968</v>
      </c>
      <c r="Y94" s="84">
        <f>COUNTIFS(AllDataApr[River], $F$93, AllDataApr[Region], $G94, AllDataApr[Season], Y$91)</f>
        <v>63</v>
      </c>
      <c r="Z94" s="85">
        <f>AVERAGEIFS(AllDataApr[Nitrate (PPM)], AllDataApr[River], $F93, AllDataApr[Region], $G94, AllDataApr[Season], Y$91)</f>
        <v>7.5555555555555554</v>
      </c>
      <c r="AA94" s="87">
        <f t="shared" ref="AA94:AA109" si="30">(Z94-$I94)/$I94</f>
        <v>6.6172214709083618E-2</v>
      </c>
      <c r="AB94" s="86">
        <f>AVERAGEIFS(AllDataApr[Phosphate (PPM)], AllDataApr[River], $F93, AllDataApr[Region], $G94,AllDataApr[Season], Y$91)</f>
        <v>0.55238095238095253</v>
      </c>
      <c r="AC94" s="87">
        <f t="shared" ref="AC94:AC109" si="31">(AB94-$J94)/$J94</f>
        <v>-8.2004789940866071E-3</v>
      </c>
      <c r="AD94" s="84">
        <f>COUNTIFS(AllDataApr[River], $F$93, AllDataApr[Region], $G94, AllDataApr[Season], "Spring")</f>
        <v>44</v>
      </c>
      <c r="AE94" s="85">
        <f>AVERAGEIFS(AllDataApr[Nitrate (PPM)], AllDataApr[River], $F93, AllDataApr[Region], $G94, AllDataApr[Season], "Spring")</f>
        <v>6.7727272727272725</v>
      </c>
      <c r="AF94" s="87">
        <f t="shared" ref="AF94:AF109" si="32">(AE94-$I94)/$I94</f>
        <v>-4.4293489355025986E-2</v>
      </c>
      <c r="AG94" s="86">
        <f>AVERAGEIFS(AllDataApr[Phosphate (PPM)], AllDataApr[River], $F93, AllDataApr[Region], $G94, AllDataApr[Season], "Spring")</f>
        <v>0.43227272727272725</v>
      </c>
      <c r="AH94" s="90">
        <f t="shared" ref="AH94:AH109" si="33">(AG94-$J94)/$J94</f>
        <v>-0.22385469302472216</v>
      </c>
    </row>
    <row r="95" spans="2:34" x14ac:dyDescent="0.3">
      <c r="D95" s="3"/>
      <c r="E95" s="165"/>
      <c r="F95" s="154"/>
      <c r="G95" s="155" t="s">
        <v>187</v>
      </c>
      <c r="H95" s="84">
        <f>COUNTIFS(AllDataApr[River], $F$93, AllDataApr[Region], $G95)</f>
        <v>88</v>
      </c>
      <c r="I95" s="85">
        <f t="shared" si="24"/>
        <v>7.7472925722925723</v>
      </c>
      <c r="J95" s="86">
        <f t="shared" si="25"/>
        <v>0.82255042705042702</v>
      </c>
      <c r="K95" s="87" cm="1">
        <f t="array" ref="K95">SUM(COUNTIFS(AllDataApr[Region], G95, AllDataApr[River], F93, AllDataApr[Nitrate Pollution Category], {"High","Very high"}))/COUNTIFS(AllDataApr[Region], G95, AllDataApr[River], F93, AllDataApr[Nitrate (PPM)], "&lt;&gt;0")</f>
        <v>0.98863636363636365</v>
      </c>
      <c r="L95" s="87" cm="1">
        <f t="array" ref="L95">SUM(COUNTIFS(AllDataApr[Region], G95, AllDataApr[River], F93, AllDataApr[Phosphate Pollution Category], {"High","Very high"}))/COUNTIFS(AllDataApr[Region], G95, AllDataApr[River], F93, AllDataApr[Phosphate (PPM)], "&lt;&gt;0")</f>
        <v>0.98863636363636365</v>
      </c>
      <c r="M95" s="88"/>
      <c r="N95" s="88"/>
      <c r="O95" s="84">
        <f>COUNTIFS(AllDataApr[River], $F$93, AllDataApr[Region], $G95, AllDataApr[Season], O$91)</f>
        <v>14</v>
      </c>
      <c r="P95" s="85">
        <f>AVERAGEIFS(AllDataApr[Nitrate (PPM)], AllDataApr[River], $F93, AllDataApr[Region], $G95, AllDataApr[Season], O$91)</f>
        <v>8.9230769230769234</v>
      </c>
      <c r="Q95" s="162">
        <f t="shared" si="26"/>
        <v>0.15176712894378455</v>
      </c>
      <c r="R95" s="163">
        <f>AVERAGEIFS(AllDataApr[Phosphate (PPM)], AllDataApr[River], $F93, AllDataApr[Region], $G95, AllDataApr[Season], O$91)</f>
        <v>1.0514285714285714</v>
      </c>
      <c r="S95" s="164">
        <f t="shared" si="27"/>
        <v>0.27825424053194592</v>
      </c>
      <c r="T95" s="84">
        <f>COUNTIFS(AllDataApr[River], $F$93, AllDataApr[Region], $G95, AllDataApr[Season], T$91)</f>
        <v>15</v>
      </c>
      <c r="U95" s="85">
        <f>AVERAGEIFS(AllDataApr[Nitrate (PPM)], AllDataApr[River], $F93, AllDataApr[Region], $G95, AllDataApr[Season], T$91)</f>
        <v>8.1999999999999993</v>
      </c>
      <c r="V95" s="87">
        <f t="shared" si="28"/>
        <v>5.8434275391443261E-2</v>
      </c>
      <c r="W95" s="86">
        <f>AVERAGEIFS(AllDataApr[Phosphate (PPM)], AllDataApr[River], $F93, AllDataApr[Region], $G95, AllDataApr[Season], T$91)</f>
        <v>0.95533333333333337</v>
      </c>
      <c r="X95" s="89">
        <f t="shared" si="29"/>
        <v>0.16142828684564769</v>
      </c>
      <c r="Y95" s="84">
        <f>COUNTIFS(AllDataApr[River], $F$93, AllDataApr[Region], $G95, AllDataApr[Season], Y$91)</f>
        <v>22</v>
      </c>
      <c r="Z95" s="85">
        <f>AVERAGEIFS(AllDataApr[Nitrate (PPM)], AllDataApr[River], $F93, AllDataApr[Region], $G95, AllDataApr[Season], Y$91)</f>
        <v>6.1363636363636367</v>
      </c>
      <c r="AA95" s="87">
        <f t="shared" si="30"/>
        <v>-0.20793443914720144</v>
      </c>
      <c r="AB95" s="86">
        <f>AVERAGEIFS(AllDataApr[Phosphate (PPM)], AllDataApr[River], $F93, AllDataApr[Region], $G95, AllDataApr[Season], Y$91)</f>
        <v>0.71181818181818179</v>
      </c>
      <c r="AC95" s="87">
        <f t="shared" si="31"/>
        <v>-0.13462061606279699</v>
      </c>
      <c r="AD95" s="84">
        <f>COUNTIFS(AllDataApr[River], $F$93, AllDataApr[Region], $G95, AllDataApr[Season], "Spring")</f>
        <v>37</v>
      </c>
      <c r="AE95" s="85">
        <f>AVERAGEIFS(AllDataApr[Nitrate (PPM)], AllDataApr[River], $F93, AllDataApr[Region], $G95, AllDataApr[Season], "Spring")</f>
        <v>7.7297297297297298</v>
      </c>
      <c r="AF95" s="87">
        <f t="shared" si="32"/>
        <v>-2.2669651880263611E-3</v>
      </c>
      <c r="AG95" s="86">
        <f>AVERAGEIFS(AllDataApr[Phosphate (PPM)], AllDataApr[River], $F93, AllDataApr[Region], $G95, AllDataApr[Season], "Spring")</f>
        <v>0.57162162162162167</v>
      </c>
      <c r="AH95" s="90">
        <f t="shared" si="33"/>
        <v>-0.30506191131479649</v>
      </c>
    </row>
    <row r="96" spans="2:34" s="103" customFormat="1" x14ac:dyDescent="0.3">
      <c r="D96" s="3"/>
      <c r="E96" s="165"/>
      <c r="F96" s="161"/>
      <c r="G96" s="109" t="s">
        <v>1061</v>
      </c>
      <c r="H96" s="110">
        <f>COUNTIF(AllDataApr[River], $F93)</f>
        <v>335</v>
      </c>
      <c r="I96" s="111">
        <f t="shared" si="24"/>
        <v>7.2436552320962431</v>
      </c>
      <c r="J96" s="112">
        <f t="shared" si="25"/>
        <v>0.62540398934710739</v>
      </c>
      <c r="K96" s="113" cm="1">
        <f t="array" ref="K96">SUM(COUNTIFS(AllDataApr[River], F93, AllDataApr[Nitrate Pollution Category], {"High","Very high"}))/COUNTIFS(AllDataApr[River], F93, AllDataApr[Nitrate (PPM)], "&lt;&gt;0")</f>
        <v>0.991044776119403</v>
      </c>
      <c r="L96" s="113" cm="1">
        <f t="array" ref="L96">SUM(COUNTIFS(AllDataApr[River], F93, AllDataApr[Phosphate Pollution Category], {"High","Very high"}))/COUNTIFS(AllDataApr[River], F93, AllDataApr[Phosphate (PPM)], "&lt;&gt;0")</f>
        <v>0.9970149253731343</v>
      </c>
      <c r="M96" s="114">
        <v>1</v>
      </c>
      <c r="N96" s="114">
        <v>4</v>
      </c>
      <c r="O96" s="110">
        <f>COUNTIFS(AllDataApr[River], $F93, AllDataApr[Season], O$91)</f>
        <v>56</v>
      </c>
      <c r="P96" s="111">
        <f>AVERAGEIFS(AllDataApr[Nitrate (PPM)], AllDataApr[River], $F93, AllDataApr[Season], O$91)</f>
        <v>7.4363636363636365</v>
      </c>
      <c r="Q96" s="159">
        <f t="shared" si="26"/>
        <v>2.6603751571929179E-2</v>
      </c>
      <c r="R96" s="112">
        <f>AVERAGEIFS(AllDataApr[Phosphate (PPM)], AllDataApr[River], $F93, AllDataApr[Season], O$91)</f>
        <v>0.71767857142857161</v>
      </c>
      <c r="S96" s="160">
        <f t="shared" si="27"/>
        <v>0.14754396142850731</v>
      </c>
      <c r="T96" s="110">
        <f>COUNTIFS(AllDataApr[River], $F93, AllDataApr[Season], T$91)</f>
        <v>91</v>
      </c>
      <c r="U96" s="111">
        <f>AVERAGEIFS(AllDataApr[Nitrate (PPM)], AllDataApr[River], $F93, AllDataApr[Season], T$91)</f>
        <v>7.2349999999999994</v>
      </c>
      <c r="V96" s="113">
        <f t="shared" si="28"/>
        <v>-1.1948707964306161E-3</v>
      </c>
      <c r="W96" s="112">
        <f>AVERAGEIFS(AllDataApr[Phosphate (PPM)], AllDataApr[River], $F93, AllDataApr[Season], T$91)</f>
        <v>0.68923076923076931</v>
      </c>
      <c r="X96" s="115">
        <f t="shared" si="29"/>
        <v>0.10205687998615759</v>
      </c>
      <c r="Y96" s="110">
        <f>COUNTIFS(AllDataApr[River], $F93, AllDataApr[Season], Y$91)</f>
        <v>89</v>
      </c>
      <c r="Z96" s="111">
        <f>AVERAGEIFS(AllDataApr[Nitrate (PPM)], AllDataApr[River], $F93, AllDataApr[Season], Y$91)</f>
        <v>7.202247191011236</v>
      </c>
      <c r="AA96" s="113">
        <f t="shared" si="30"/>
        <v>-5.7164566449173729E-3</v>
      </c>
      <c r="AB96" s="112">
        <f>AVERAGEIFS(AllDataApr[Phosphate (PPM)], AllDataApr[River], $F93, AllDataApr[Season], Y$91)</f>
        <v>0.59359550561797747</v>
      </c>
      <c r="AC96" s="113">
        <f t="shared" si="31"/>
        <v>-5.0860698478013382E-2</v>
      </c>
      <c r="AD96" s="110">
        <f>COUNTIFS(AllDataApr[River], $F93, AllDataApr[Season], "Spring")</f>
        <v>99</v>
      </c>
      <c r="AE96" s="111">
        <f>AVERAGEIFS(AllDataApr[Nitrate (PPM)], AllDataApr[River], $F93, AllDataApr[Season], "Spring")</f>
        <v>7.1010101010101012</v>
      </c>
      <c r="AF96" s="113">
        <f t="shared" si="32"/>
        <v>-1.9692424130581067E-2</v>
      </c>
      <c r="AG96" s="112">
        <f>AVERAGEIFS(AllDataApr[Phosphate (PPM)], AllDataApr[River], $F93, AllDataApr[Season], "Spring")</f>
        <v>0.50111111111111117</v>
      </c>
      <c r="AH96" s="140">
        <f t="shared" si="33"/>
        <v>-0.19874014293665154</v>
      </c>
    </row>
    <row r="97" spans="2:34" x14ac:dyDescent="0.3">
      <c r="D97" s="167"/>
      <c r="E97" s="165"/>
      <c r="F97" s="92" t="s">
        <v>1037</v>
      </c>
      <c r="G97" s="92" t="s">
        <v>185</v>
      </c>
      <c r="H97" s="94">
        <f>COUNTIFS(AllDataApr[River], $F97, AllDataApr[Region], $G97)</f>
        <v>18</v>
      </c>
      <c r="I97" s="95">
        <f t="shared" si="24"/>
        <v>5.3441558441558445</v>
      </c>
      <c r="J97" s="96">
        <f t="shared" si="25"/>
        <v>0.53688311688311696</v>
      </c>
      <c r="K97" s="97" cm="1">
        <f t="array" ref="K97">SUM(COUNTIFS(AllDataApr[Region], G97, AllDataApr[River], F97, AllDataApr[Nitrate Pollution Category], {"High","Very high"}))/COUNTIFS(AllDataApr[Region], G97, AllDataApr[River], F97, AllDataApr[Nitrate (PPM)], "&lt;&gt;0")</f>
        <v>1</v>
      </c>
      <c r="L97" s="97" cm="1">
        <f t="array" ref="L97">SUM(COUNTIFS(AllDataApr[Region], G97, AllDataApr[River], F97, AllDataApr[Phosphate Pollution Category], {"High","Very high"}))/COUNTIFS(AllDataApr[Region], G97, AllDataApr[River], F97, AllDataApr[Phosphate (PPM)], "&lt;&gt;0")</f>
        <v>1</v>
      </c>
      <c r="M97" s="98">
        <v>4</v>
      </c>
      <c r="N97" s="98">
        <v>7</v>
      </c>
      <c r="O97" s="94">
        <f>COUNTIFS(AllDataApr[River], $F97, AllDataApr[Region], $G97, AllDataApr[Season], O$91)</f>
        <v>0</v>
      </c>
      <c r="P97" s="95"/>
      <c r="Q97" s="97"/>
      <c r="R97" s="96"/>
      <c r="S97" s="97"/>
      <c r="T97" s="94">
        <f>COUNTIFS(AllDataApr[River], $F97, AllDataApr[Region], $G97, AllDataApr[Season], T$91)</f>
        <v>0</v>
      </c>
      <c r="U97" s="95"/>
      <c r="V97" s="97"/>
      <c r="W97" s="96"/>
      <c r="X97" s="99"/>
      <c r="Y97" s="94">
        <f>COUNTIFS(AllDataApr[River], $F97, AllDataApr[Region], $G97, AllDataApr[Season], Y$91)</f>
        <v>7</v>
      </c>
      <c r="Z97" s="95">
        <f>AVERAGEIFS(AllDataApr[Nitrate (PPM)], AllDataApr[River], $F97, AllDataApr[Region], $G97, AllDataApr[Season], Y$91)</f>
        <v>6.1428571428571432</v>
      </c>
      <c r="AA97" s="97">
        <f t="shared" si="30"/>
        <v>0.14945321992709598</v>
      </c>
      <c r="AB97" s="96">
        <f>AVERAGEIFS(AllDataApr[Phosphate (PPM)], AllDataApr[River], $F97, AllDataApr[Region], $G97, AllDataApr[Season], Y$91)</f>
        <v>0.61285714285714288</v>
      </c>
      <c r="AC97" s="97">
        <f t="shared" si="31"/>
        <v>0.14150943396226401</v>
      </c>
      <c r="AD97" s="94">
        <f>COUNTIFS(AllDataApr[River], $F97, AllDataApr[Region], $G97, AllDataApr[Season], "Spring")</f>
        <v>11</v>
      </c>
      <c r="AE97" s="95">
        <f>AVERAGEIFS(AllDataApr[Nitrate (PPM)], AllDataApr[River], $F97, AllDataApr[Region], $G97, AllDataApr[Season], "Spring")</f>
        <v>4.5454545454545459</v>
      </c>
      <c r="AF97" s="97">
        <f t="shared" si="32"/>
        <v>-0.14945321992709598</v>
      </c>
      <c r="AG97" s="96">
        <f>AVERAGEIFS(AllDataApr[Phosphate (PPM)], AllDataApr[River], $F97, AllDataApr[Region], $G97, AllDataApr[Season], "Spring")</f>
        <v>0.46090909090909093</v>
      </c>
      <c r="AH97" s="100">
        <f t="shared" si="33"/>
        <v>-0.14150943396226423</v>
      </c>
    </row>
    <row r="98" spans="2:34" x14ac:dyDescent="0.3">
      <c r="D98" s="3"/>
      <c r="E98" s="165"/>
      <c r="F98" s="14" t="s">
        <v>1040</v>
      </c>
      <c r="G98" s="14" t="s">
        <v>1035</v>
      </c>
      <c r="H98" s="84">
        <f>COUNTIFS(AllDataApr[River], $F98, AllDataApr[Region], $G98)</f>
        <v>15</v>
      </c>
      <c r="I98" s="95">
        <f t="shared" si="24"/>
        <v>4.9285714285714288</v>
      </c>
      <c r="J98" s="86">
        <f t="shared" si="25"/>
        <v>0.54</v>
      </c>
      <c r="K98" s="87" cm="1">
        <f t="array" ref="K98">SUM(COUNTIFS(AllDataApr[Region], G98, AllDataApr[River], F98, AllDataApr[Nitrate Pollution Category], {"High","Very high"}))/COUNTIFS(AllDataApr[Region], G98, AllDataApr[River], F98, AllDataApr[Nitrate (PPM)], "&lt;&gt;0")</f>
        <v>0.93333333333333335</v>
      </c>
      <c r="L98" s="87" cm="1">
        <f t="array" ref="L98">SUM(COUNTIFS(AllDataApr[Region], G98, AllDataApr[River], F98, AllDataApr[Phosphate Pollution Category], {"High","Very high"}))/COUNTIFS(AllDataApr[Region], G98, AllDataApr[River], F98, AllDataApr[Phosphate (PPM)], "&lt;&gt;0")</f>
        <v>1</v>
      </c>
      <c r="M98" s="88">
        <v>5</v>
      </c>
      <c r="N98" s="88">
        <v>2</v>
      </c>
      <c r="O98" s="84">
        <f>COUNTIFS(AllDataApr[River], $F98, AllDataApr[Region], $G98, AllDataApr[Season], O$91)</f>
        <v>0</v>
      </c>
      <c r="P98" s="85"/>
      <c r="Q98" s="87"/>
      <c r="R98" s="86"/>
      <c r="S98" s="87"/>
      <c r="T98" s="84">
        <f>COUNTIFS(AllDataApr[River], $F98, AllDataApr[Region], $G98, AllDataApr[Season], T$91)</f>
        <v>0</v>
      </c>
      <c r="U98" s="85"/>
      <c r="V98" s="87"/>
      <c r="W98" s="86"/>
      <c r="X98" s="89"/>
      <c r="Y98" s="84">
        <f>COUNTIFS(AllDataApr[River], $F98, AllDataApr[Region], $G98, AllDataApr[Season], Y$91)</f>
        <v>1</v>
      </c>
      <c r="Z98" s="85"/>
      <c r="AA98" s="87"/>
      <c r="AB98" s="86">
        <f>AVERAGEIFS(AllDataApr[Phosphate (PPM)], AllDataApr[River], $F98, AllDataApr[Region], $G98, AllDataApr[Season], Y$91)</f>
        <v>0.21</v>
      </c>
      <c r="AC98" s="87">
        <f t="shared" si="31"/>
        <v>-0.61111111111111116</v>
      </c>
      <c r="AD98" s="84">
        <f>COUNTIFS(AllDataApr[River], $F98, AllDataApr[Region], $G98, AllDataApr[Season], "Spring")</f>
        <v>14</v>
      </c>
      <c r="AE98" s="85">
        <f>AVERAGEIFS(AllDataApr[Nitrate (PPM)], AllDataApr[River], $F98, AllDataApr[Region], $G98, AllDataApr[Season], "Spring")</f>
        <v>4.9285714285714288</v>
      </c>
      <c r="AF98" s="87">
        <f t="shared" si="32"/>
        <v>0</v>
      </c>
      <c r="AG98" s="86">
        <f>AVERAGEIFS(AllDataApr[Phosphate (PPM)], AllDataApr[River], $F98, AllDataApr[Region], $G98, AllDataApr[Season], "Spring")</f>
        <v>0.87</v>
      </c>
      <c r="AH98" s="90">
        <f t="shared" si="33"/>
        <v>0.61111111111111105</v>
      </c>
    </row>
    <row r="99" spans="2:34" x14ac:dyDescent="0.3">
      <c r="D99" s="3"/>
      <c r="E99" s="165"/>
      <c r="F99" s="92" t="s">
        <v>190</v>
      </c>
      <c r="G99" s="92" t="s">
        <v>187</v>
      </c>
      <c r="H99" s="94">
        <f>COUNTIFS(AllDataApr[River], $F99, AllDataApr[Region], $G99)</f>
        <v>53</v>
      </c>
      <c r="I99" s="95">
        <f t="shared" si="24"/>
        <v>5.9624963159445912</v>
      </c>
      <c r="J99" s="96">
        <f t="shared" si="25"/>
        <v>0.48553492484526972</v>
      </c>
      <c r="K99" s="97" cm="1">
        <f t="array" ref="K99">SUM(COUNTIFS(AllDataApr[Region], G99, AllDataApr[River], F99, AllDataApr[Nitrate Pollution Category], {"High","Very high"}))/COUNTIFS(AllDataApr[Region], G99, AllDataApr[River], F99, AllDataApr[Nitrate (PPM)], "&lt;&gt;0")</f>
        <v>1</v>
      </c>
      <c r="L99" s="97" cm="1">
        <f t="array" ref="L99">SUM(COUNTIFS(AllDataApr[Region], G99, AllDataApr[River], F99, AllDataApr[Phosphate Pollution Category], {"High","Very high"}))/COUNTIFS(AllDataApr[Region], G99, AllDataApr[River], F99, AllDataApr[Phosphate (PPM)], "&lt;&gt;0")</f>
        <v>1</v>
      </c>
      <c r="M99" s="98">
        <v>3</v>
      </c>
      <c r="N99" s="98">
        <v>10</v>
      </c>
      <c r="O99" s="94">
        <f>COUNTIFS(AllDataApr[River], $F99, AllDataApr[Region], $G99, AllDataApr[Season], O$91)</f>
        <v>2</v>
      </c>
      <c r="P99" s="95">
        <f>AVERAGEIFS(AllDataApr[Nitrate (PPM)], AllDataApr[River], $F99, AllDataApr[Region], $G99, AllDataApr[Season], O$91)</f>
        <v>6</v>
      </c>
      <c r="Q99" s="97">
        <f t="shared" si="26"/>
        <v>6.28992993339358E-3</v>
      </c>
      <c r="R99" s="96">
        <f>AVERAGEIFS(AllDataApr[Phosphate (PPM)], AllDataApr[River], $F99, AllDataApr[Region], $G99, AllDataApr[Season], O$91)</f>
        <v>0.64</v>
      </c>
      <c r="S99" s="97">
        <f t="shared" si="27"/>
        <v>0.31813380922897611</v>
      </c>
      <c r="T99" s="94">
        <f>COUNTIFS(AllDataApr[River], $F99, AllDataApr[Region], $G99, AllDataApr[Season], T$91)</f>
        <v>9</v>
      </c>
      <c r="U99" s="95">
        <f>AVERAGEIFS(AllDataApr[Nitrate (PPM)], AllDataApr[River], $F99, AllDataApr[Region], $G99, AllDataApr[Season], T$91)</f>
        <v>6.5555555555555554</v>
      </c>
      <c r="V99" s="97">
        <f t="shared" si="28"/>
        <v>9.9464923445744799E-2</v>
      </c>
      <c r="W99" s="96">
        <f>AVERAGEIFS(AllDataApr[Phosphate (PPM)], AllDataApr[River], $F99, AllDataApr[Region], $G99, AllDataApr[Season], T$91)</f>
        <v>0.54333333333333345</v>
      </c>
      <c r="X99" s="99">
        <f t="shared" si="29"/>
        <v>0.11904068179334971</v>
      </c>
      <c r="Y99" s="94">
        <f>COUNTIFS(AllDataApr[River], $F99, AllDataApr[Region], $G99, AllDataApr[Season], Y$91)</f>
        <v>13</v>
      </c>
      <c r="Z99" s="95">
        <f>AVERAGEIFS(AllDataApr[Nitrate (PPM)], AllDataApr[River], $F99, AllDataApr[Region], $G99, AllDataApr[Season], Y$91)</f>
        <v>4.8461538461538458</v>
      </c>
      <c r="AA99" s="97">
        <f t="shared" si="30"/>
        <v>-0.18722736428456679</v>
      </c>
      <c r="AB99" s="96">
        <f>AVERAGEIFS(AllDataApr[Phosphate (PPM)], AllDataApr[River], $F99, AllDataApr[Region], $G99, AllDataApr[Season], Y$91)</f>
        <v>0.40846153846153849</v>
      </c>
      <c r="AC99" s="97">
        <f t="shared" si="31"/>
        <v>-0.15873911935025681</v>
      </c>
      <c r="AD99" s="94">
        <f>COUNTIFS(AllDataApr[River], $F99, AllDataApr[Region], $G99, AllDataApr[Season], "Spring")</f>
        <v>29</v>
      </c>
      <c r="AE99" s="95">
        <f>AVERAGEIFS(AllDataApr[Nitrate (PPM)], AllDataApr[River], $F99, AllDataApr[Region], $G99, AllDataApr[Season], "Spring")</f>
        <v>6.4482758620689653</v>
      </c>
      <c r="AF99" s="97">
        <f t="shared" si="32"/>
        <v>8.1472510905428702E-2</v>
      </c>
      <c r="AG99" s="96">
        <f>AVERAGEIFS(AllDataApr[Phosphate (PPM)], AllDataApr[River], $F99, AllDataApr[Region], $G99, AllDataApr[Season], "Spring")</f>
        <v>0.35034482758620683</v>
      </c>
      <c r="AH99" s="100">
        <f t="shared" si="33"/>
        <v>-0.27843537167206928</v>
      </c>
    </row>
    <row r="100" spans="2:34" x14ac:dyDescent="0.3">
      <c r="D100" s="3"/>
      <c r="E100" s="165"/>
      <c r="F100" s="14" t="s">
        <v>230</v>
      </c>
      <c r="G100" s="14" t="s">
        <v>1036</v>
      </c>
      <c r="H100" s="84">
        <f>COUNTIFS(AllDataApr[River], $F100, AllDataApr[Region], $G100)</f>
        <v>15</v>
      </c>
      <c r="I100" s="95">
        <f t="shared" si="24"/>
        <v>4.0758928571428577</v>
      </c>
      <c r="J100" s="86">
        <f t="shared" si="25"/>
        <v>0.63767857142857143</v>
      </c>
      <c r="K100" s="87" cm="1">
        <f t="array" ref="K100">SUM(COUNTIFS(AllDataApr[Region], G100, AllDataApr[River], F100, AllDataApr[Nitrate Pollution Category], {"High","Very high"}))/COUNTIFS(AllDataApr[Region], G100, AllDataApr[River], F100, AllDataApr[Nitrate (PPM)], "&lt;&gt;0")</f>
        <v>0.8</v>
      </c>
      <c r="L100" s="87" cm="1">
        <f t="array" ref="L100">SUM(COUNTIFS(AllDataApr[Region], G100, AllDataApr[River], F100, AllDataApr[Phosphate Pollution Category], {"High","Very high"}))/COUNTIFS(AllDataApr[Region], G100, AllDataApr[River], F100, AllDataApr[Phosphate (PPM)], "&lt;&gt;0")</f>
        <v>1</v>
      </c>
      <c r="M100" s="88">
        <v>9</v>
      </c>
      <c r="N100" s="88">
        <v>1</v>
      </c>
      <c r="O100" s="84">
        <f>COUNTIFS(AllDataApr[River], $F100, AllDataApr[Region], $G100, AllDataApr[Season], O$91)</f>
        <v>0</v>
      </c>
      <c r="P100" s="85"/>
      <c r="Q100" s="87"/>
      <c r="R100" s="86"/>
      <c r="S100" s="87"/>
      <c r="T100" s="84">
        <f>COUNTIFS(AllDataApr[River], $F100, AllDataApr[Region], $G100, AllDataApr[Season], T$91)</f>
        <v>0</v>
      </c>
      <c r="U100" s="85"/>
      <c r="V100" s="87"/>
      <c r="W100" s="86"/>
      <c r="X100" s="89"/>
      <c r="Y100" s="84">
        <f>COUNTIFS(AllDataApr[River], $F100, AllDataApr[Region], $G100, AllDataApr[Season], Y$91)</f>
        <v>7</v>
      </c>
      <c r="Z100" s="85">
        <f>AVERAGEIFS(AllDataApr[Nitrate (PPM)], AllDataApr[River], $F100, AllDataApr[Region], $G100, AllDataApr[Season], Y$91)</f>
        <v>5.7142857142857144</v>
      </c>
      <c r="AA100" s="87">
        <f t="shared" si="30"/>
        <v>0.40197152245345003</v>
      </c>
      <c r="AB100" s="86">
        <f>AVERAGEIFS(AllDataApr[Phosphate (PPM)], AllDataApr[River], $F100, AllDataApr[Region], $G100, AllDataApr[Season], Y$91)</f>
        <v>0.6328571428571429</v>
      </c>
      <c r="AC100" s="87">
        <f t="shared" si="31"/>
        <v>-7.5609073088770034E-3</v>
      </c>
      <c r="AD100" s="84">
        <f>COUNTIFS(AllDataApr[River], $F100, AllDataApr[Region], $G100, AllDataApr[Season], "Spring")</f>
        <v>8</v>
      </c>
      <c r="AE100" s="85">
        <f>AVERAGEIFS(AllDataApr[Nitrate (PPM)], AllDataApr[River], $F100, AllDataApr[Region], $G100, AllDataApr[Season], "Spring")</f>
        <v>2.4375</v>
      </c>
      <c r="AF100" s="87">
        <f t="shared" si="32"/>
        <v>-0.40197152245345025</v>
      </c>
      <c r="AG100" s="86">
        <f>AVERAGEIFS(AllDataApr[Phosphate (PPM)], AllDataApr[River], $F100, AllDataApr[Region], $G100, AllDataApr[Season], "Spring")</f>
        <v>0.64249999999999996</v>
      </c>
      <c r="AH100" s="90">
        <f t="shared" si="33"/>
        <v>7.5609073088770034E-3</v>
      </c>
    </row>
    <row r="101" spans="2:34" x14ac:dyDescent="0.3">
      <c r="D101" s="3"/>
      <c r="E101" s="165"/>
      <c r="F101" s="92" t="s">
        <v>1074</v>
      </c>
      <c r="G101" s="92" t="s">
        <v>188</v>
      </c>
      <c r="H101" s="94">
        <f>COUNTIFS(AllDataApr[River], $F101, AllDataApr[Region], $G101)</f>
        <v>1</v>
      </c>
      <c r="I101" s="95">
        <f t="shared" si="24"/>
        <v>1</v>
      </c>
      <c r="J101" s="96">
        <f t="shared" si="25"/>
        <v>0.18</v>
      </c>
      <c r="K101" s="97" cm="1">
        <f t="array" ref="K101">SUM(COUNTIFS(AllDataApr[Region], G101, AllDataApr[River], F101, AllDataApr[Nitrate Pollution Category], {"High","Very high"}))/COUNTIFS(AllDataApr[Region], G101, AllDataApr[River], F101, AllDataApr[Nitrate (PPM)], "&lt;&gt;0")</f>
        <v>0</v>
      </c>
      <c r="L101" s="97" cm="1">
        <f t="array" ref="L101">SUM(COUNTIFS(AllDataApr[Region], G101, AllDataApr[River], F101, AllDataApr[Phosphate Pollution Category], {"High","Very high"}))/COUNTIFS(AllDataApr[Region], G101, AllDataApr[River], F101, AllDataApr[Phosphate (PPM)], "&lt;&gt;0")</f>
        <v>1</v>
      </c>
      <c r="M101" s="98">
        <v>12</v>
      </c>
      <c r="N101" s="98">
        <v>12</v>
      </c>
      <c r="O101" s="94">
        <f>COUNTIFS(AllDataApr[River], $F101, AllDataApr[Region], $G101, AllDataApr[Season], O$91)</f>
        <v>0</v>
      </c>
      <c r="P101" s="95"/>
      <c r="Q101" s="97"/>
      <c r="R101" s="96"/>
      <c r="S101" s="97"/>
      <c r="T101" s="94">
        <f>COUNTIFS(AllDataApr[River], $F101, AllDataApr[Region], $G101, AllDataApr[Season], T$91)</f>
        <v>1</v>
      </c>
      <c r="U101" s="95">
        <f>AVERAGEIFS(AllDataApr[Nitrate (PPM)], AllDataApr[River], $F101, AllDataApr[Region], $G101, AllDataApr[Season], T$91)</f>
        <v>1</v>
      </c>
      <c r="V101" s="97">
        <f t="shared" si="28"/>
        <v>0</v>
      </c>
      <c r="W101" s="96">
        <f>AVERAGEIFS(AllDataApr[Phosphate (PPM)], AllDataApr[River], $F101, AllDataApr[Region], $G101, AllDataApr[Season], T$91)</f>
        <v>0.18</v>
      </c>
      <c r="X101" s="99">
        <f t="shared" si="29"/>
        <v>0</v>
      </c>
      <c r="Y101" s="94">
        <f>COUNTIFS(AllDataApr[River], $F101, AllDataApr[Region], $G101, AllDataApr[Season], Y$91)</f>
        <v>0</v>
      </c>
      <c r="Z101" s="95"/>
      <c r="AA101" s="97"/>
      <c r="AB101" s="96"/>
      <c r="AC101" s="97"/>
      <c r="AD101" s="94">
        <f>COUNTIFS(AllDataApr[River], $F101, AllDataApr[Region], $G101, AllDataApr[Season], "Spring")</f>
        <v>0</v>
      </c>
      <c r="AE101" s="95"/>
      <c r="AF101" s="97"/>
      <c r="AG101" s="96"/>
      <c r="AH101" s="100"/>
    </row>
    <row r="102" spans="2:34" x14ac:dyDescent="0.3">
      <c r="D102" s="3"/>
      <c r="E102" s="165"/>
      <c r="F102" s="14" t="s">
        <v>1041</v>
      </c>
      <c r="G102" s="14" t="s">
        <v>1035</v>
      </c>
      <c r="H102" s="84">
        <f>COUNTIFS(AllDataApr[River], $F102, AllDataApr[Region], $G102)</f>
        <v>13</v>
      </c>
      <c r="I102" s="95">
        <f t="shared" si="24"/>
        <v>5.6923076923076925</v>
      </c>
      <c r="J102" s="86">
        <f t="shared" si="25"/>
        <v>0.64461538461538459</v>
      </c>
      <c r="K102" s="87" cm="1">
        <f t="array" ref="K102">SUM(COUNTIFS(AllDataApr[Region], G102, AllDataApr[River], F102, AllDataApr[Nitrate Pollution Category], {"High","Very high"}))/COUNTIFS(AllDataApr[Region], G102, AllDataApr[River], F102, AllDataApr[Nitrate (PPM)], "&lt;&gt;0")</f>
        <v>1</v>
      </c>
      <c r="L102" s="87" cm="1">
        <f t="array" ref="L102">SUM(COUNTIFS(AllDataApr[Region], G102, AllDataApr[River], F102, AllDataApr[Phosphate Pollution Category], {"High","Very high"}))/COUNTIFS(AllDataApr[Region], G102, AllDataApr[River], F102, AllDataApr[Phosphate (PPM)], "&lt;&gt;0")</f>
        <v>1</v>
      </c>
      <c r="M102" s="88">
        <v>8</v>
      </c>
      <c r="N102" s="88">
        <v>6</v>
      </c>
      <c r="O102" s="84">
        <f>COUNTIFS(AllDataApr[River], $F102, AllDataApr[Region], $G102, AllDataApr[Season], O$91)</f>
        <v>0</v>
      </c>
      <c r="P102" s="85"/>
      <c r="Q102" s="87"/>
      <c r="R102" s="86"/>
      <c r="S102" s="87"/>
      <c r="T102" s="84">
        <f>COUNTIFS(AllDataApr[River], $F102, AllDataApr[Region], $G102, AllDataApr[Season], T$91)</f>
        <v>0</v>
      </c>
      <c r="U102" s="85"/>
      <c r="V102" s="87"/>
      <c r="W102" s="86"/>
      <c r="X102" s="89"/>
      <c r="Y102" s="84">
        <f>COUNTIFS(AllDataApr[River], $F102, AllDataApr[Region], $G102, AllDataApr[Season], Y$91)</f>
        <v>0</v>
      </c>
      <c r="Z102" s="85"/>
      <c r="AA102" s="87"/>
      <c r="AB102" s="86"/>
      <c r="AC102" s="87"/>
      <c r="AD102" s="84">
        <f>COUNTIFS(AllDataApr[River], $F102, AllDataApr[Region], $G102, AllDataApr[Season], "Spring")</f>
        <v>13</v>
      </c>
      <c r="AE102" s="85">
        <f>AVERAGEIFS(AllDataApr[Nitrate (PPM)], AllDataApr[River], $F102, AllDataApr[Region], $G102, AllDataApr[Season], "Spring")</f>
        <v>5.6923076923076925</v>
      </c>
      <c r="AF102" s="87">
        <f t="shared" si="32"/>
        <v>0</v>
      </c>
      <c r="AG102" s="86">
        <f>AVERAGEIFS(AllDataApr[Phosphate (PPM)], AllDataApr[River], $F102, AllDataApr[Region], $G102, AllDataApr[Season], "Spring")</f>
        <v>0.64461538461538459</v>
      </c>
      <c r="AH102" s="90">
        <f t="shared" si="33"/>
        <v>0</v>
      </c>
    </row>
    <row r="103" spans="2:34" x14ac:dyDescent="0.3">
      <c r="D103" s="3"/>
      <c r="E103" s="165"/>
      <c r="F103" s="92" t="s">
        <v>921</v>
      </c>
      <c r="G103" s="92" t="s">
        <v>1036</v>
      </c>
      <c r="H103" s="94">
        <f>COUNTIFS(AllDataApr[River], $F103, AllDataApr[Region], $G103)</f>
        <v>7</v>
      </c>
      <c r="I103" s="95">
        <f t="shared" si="24"/>
        <v>2.229166666666667</v>
      </c>
      <c r="J103" s="96">
        <f t="shared" si="25"/>
        <v>0.65</v>
      </c>
      <c r="K103" s="97" cm="1">
        <f t="array" ref="K103">SUM(COUNTIFS(AllDataApr[Region], G103, AllDataApr[River], F103, AllDataApr[Nitrate Pollution Category], {"High","Very high"}))/COUNTIFS(AllDataApr[Region], G103, AllDataApr[River], F103, AllDataApr[Nitrate (PPM)], "&lt;&gt;0")</f>
        <v>1</v>
      </c>
      <c r="L103" s="97" cm="1">
        <f t="array" ref="L103">SUM(COUNTIFS(AllDataApr[Region], G103, AllDataApr[River], F103, AllDataApr[Phosphate Pollution Category], {"High","Very high"}))/COUNTIFS(AllDataApr[Region], G103, AllDataApr[River], F103, AllDataApr[Phosphate (PPM)], "&lt;&gt;0")</f>
        <v>1</v>
      </c>
      <c r="M103" s="98">
        <v>10</v>
      </c>
      <c r="N103" s="158">
        <v>3</v>
      </c>
      <c r="O103" s="94">
        <f>COUNTIFS(AllDataApr[River], $F103, AllDataApr[Region], $G103, AllDataApr[Season], O$91)</f>
        <v>0</v>
      </c>
      <c r="P103" s="95"/>
      <c r="Q103" s="97"/>
      <c r="R103" s="96"/>
      <c r="S103" s="97"/>
      <c r="T103" s="94">
        <f>COUNTIFS(AllDataApr[River], $F103, AllDataApr[Region], $G103, AllDataApr[Season], T$91)</f>
        <v>0</v>
      </c>
      <c r="U103" s="95"/>
      <c r="V103" s="97"/>
      <c r="W103" s="96"/>
      <c r="X103" s="99"/>
      <c r="Y103" s="94">
        <f>COUNTIFS(AllDataApr[River], $F103, AllDataApr[Region], $G103, AllDataApr[Season], Y$91)</f>
        <v>4</v>
      </c>
      <c r="Z103" s="95">
        <f>AVERAGEIFS(AllDataApr[Nitrate (PPM)], AllDataApr[River], $F103, AllDataApr[Region], $G103, AllDataApr[Season], Y$91)</f>
        <v>2.125</v>
      </c>
      <c r="AA103" s="97">
        <f t="shared" si="30"/>
        <v>-4.6728971962616946E-2</v>
      </c>
      <c r="AB103" s="96">
        <f>AVERAGEIFS(AllDataApr[Phosphate (PPM)], AllDataApr[River], $F103, AllDataApr[Region], $G103, AllDataApr[Season], Y$91)</f>
        <v>0.57000000000000006</v>
      </c>
      <c r="AC103" s="97">
        <f t="shared" si="31"/>
        <v>-0.12307692307692301</v>
      </c>
      <c r="AD103" s="94">
        <f>COUNTIFS(AllDataApr[River], $F103, AllDataApr[Region], $G103, AllDataApr[Season], "Spring")</f>
        <v>3</v>
      </c>
      <c r="AE103" s="95">
        <f>AVERAGEIFS(AllDataApr[Nitrate (PPM)], AllDataApr[River], $F103, AllDataApr[Region], $G103, AllDataApr[Season], "Spring")</f>
        <v>2.3333333333333335</v>
      </c>
      <c r="AF103" s="97">
        <f t="shared" si="32"/>
        <v>4.6728971962616751E-2</v>
      </c>
      <c r="AG103" s="96">
        <f>AVERAGEIFS(AllDataApr[Phosphate (PPM)], AllDataApr[River], $F103, AllDataApr[Region], $G103, AllDataApr[Season], "Spring")</f>
        <v>0.73</v>
      </c>
      <c r="AH103" s="100">
        <f t="shared" si="33"/>
        <v>0.12307692307692301</v>
      </c>
    </row>
    <row r="104" spans="2:34" x14ac:dyDescent="0.3">
      <c r="D104" s="3"/>
      <c r="E104" s="165"/>
      <c r="F104" s="14" t="s">
        <v>922</v>
      </c>
      <c r="G104" s="14" t="s">
        <v>1036</v>
      </c>
      <c r="H104" s="84">
        <f>COUNTIFS(AllDataApr[River], $F104, AllDataApr[Region], $G104)</f>
        <v>7</v>
      </c>
      <c r="I104" s="95">
        <f t="shared" si="24"/>
        <v>2.0625</v>
      </c>
      <c r="J104" s="86">
        <f t="shared" si="25"/>
        <v>0.30583333333333335</v>
      </c>
      <c r="K104" s="87" cm="1">
        <f t="array" ref="K104">SUM(COUNTIFS(AllDataApr[Region], G104, AllDataApr[River], F104, AllDataApr[Nitrate Pollution Category], {"High","Very high"}))/COUNTIFS(AllDataApr[Region], G104, AllDataApr[River], F104, AllDataApr[Nitrate (PPM)], "&lt;&gt;0")</f>
        <v>1</v>
      </c>
      <c r="L104" s="87" cm="1">
        <f t="array" ref="L104">SUM(COUNTIFS(AllDataApr[Region], G104, AllDataApr[River], F104, AllDataApr[Phosphate Pollution Category], {"High","Very high"}))/COUNTIFS(AllDataApr[Region], G104, AllDataApr[River], F104, AllDataApr[Phosphate (PPM)], "&lt;&gt;0")</f>
        <v>1</v>
      </c>
      <c r="M104" s="88">
        <v>11</v>
      </c>
      <c r="N104" s="88">
        <v>11</v>
      </c>
      <c r="O104" s="84">
        <f>COUNTIFS(AllDataApr[River], $F104, AllDataApr[Region], $G104, AllDataApr[Season], O$91)</f>
        <v>0</v>
      </c>
      <c r="P104" s="85"/>
      <c r="Q104" s="87"/>
      <c r="R104" s="86"/>
      <c r="S104" s="87"/>
      <c r="T104" s="84">
        <f>COUNTIFS(AllDataApr[River], $F104, AllDataApr[Region], $G104, AllDataApr[Season], T$91)</f>
        <v>0</v>
      </c>
      <c r="U104" s="85"/>
      <c r="V104" s="87"/>
      <c r="W104" s="86"/>
      <c r="X104" s="89"/>
      <c r="Y104" s="84">
        <f>COUNTIFS(AllDataApr[River], $F104, AllDataApr[Region], $G104, AllDataApr[Season], Y$91)</f>
        <v>4</v>
      </c>
      <c r="Z104" s="85">
        <f>AVERAGEIFS(AllDataApr[Nitrate (PPM)], AllDataApr[River], $F104, AllDataApr[Region], $G104, AllDataApr[Season], Y$91)</f>
        <v>2.125</v>
      </c>
      <c r="AA104" s="87">
        <f t="shared" si="30"/>
        <v>3.0303030303030304E-2</v>
      </c>
      <c r="AB104" s="86">
        <f>AVERAGEIFS(AllDataApr[Phosphate (PPM)], AllDataApr[River], $F104, AllDataApr[Region], $G104, AllDataApr[Season], Y$91)</f>
        <v>0.28499999999999998</v>
      </c>
      <c r="AC104" s="87">
        <f t="shared" si="31"/>
        <v>-6.8119891008174505E-2</v>
      </c>
      <c r="AD104" s="84">
        <f>COUNTIFS(AllDataApr[River], $F104, AllDataApr[Region], $G104, AllDataApr[Season], "Spring")</f>
        <v>3</v>
      </c>
      <c r="AE104" s="85">
        <f>AVERAGEIFS(AllDataApr[Nitrate (PPM)], AllDataApr[River], $F104, AllDataApr[Region], $G104, AllDataApr[Season], "Spring")</f>
        <v>2</v>
      </c>
      <c r="AF104" s="87">
        <f t="shared" si="32"/>
        <v>-3.0303030303030304E-2</v>
      </c>
      <c r="AG104" s="86">
        <f>AVERAGEIFS(AllDataApr[Phosphate (PPM)], AllDataApr[River], $F104, AllDataApr[Region], $G104, AllDataApr[Season], "Spring")</f>
        <v>0.32666666666666672</v>
      </c>
      <c r="AH104" s="90">
        <f t="shared" si="33"/>
        <v>6.8119891008174505E-2</v>
      </c>
    </row>
    <row r="105" spans="2:34" x14ac:dyDescent="0.3">
      <c r="E105" s="165"/>
      <c r="F105" s="92" t="s">
        <v>1038</v>
      </c>
      <c r="G105" s="92" t="s">
        <v>185</v>
      </c>
      <c r="H105" s="94">
        <f>COUNTIFS(AllDataApr[River], $F105, AllDataApr[Region], $G105)</f>
        <v>18</v>
      </c>
      <c r="I105" s="95">
        <f t="shared" si="24"/>
        <v>6.7922077922077921</v>
      </c>
      <c r="J105" s="96">
        <f t="shared" si="25"/>
        <v>0.59045454545454545</v>
      </c>
      <c r="K105" s="97" cm="1">
        <f t="array" ref="K105">SUM(COUNTIFS(AllDataApr[Region], G105, AllDataApr[River], F105, AllDataApr[Nitrate Pollution Category], {"High","Very high"}))/COUNTIFS(AllDataApr[Region], G105, AllDataApr[River], F105, AllDataApr[Nitrate (PPM)], "&lt;&gt;0")</f>
        <v>1</v>
      </c>
      <c r="L105" s="97" cm="1">
        <f t="array" ref="L105">SUM(COUNTIFS(AllDataApr[Region], G105, AllDataApr[River], F105, AllDataApr[Phosphate Pollution Category], {"High","Very high"}))/COUNTIFS(AllDataApr[Region], G105, AllDataApr[River], F105, AllDataApr[Phosphate (PPM)], "&lt;&gt;0")</f>
        <v>1</v>
      </c>
      <c r="M105" s="98">
        <v>2</v>
      </c>
      <c r="N105" s="98">
        <v>5</v>
      </c>
      <c r="O105" s="94">
        <f>COUNTIFS(AllDataApr[River], $F105, AllDataApr[Region], $G105, AllDataApr[Season], O$91)</f>
        <v>0</v>
      </c>
      <c r="P105" s="95"/>
      <c r="Q105" s="97"/>
      <c r="R105" s="96"/>
      <c r="S105" s="97"/>
      <c r="T105" s="94">
        <f>COUNTIFS(AllDataApr[River], $F105, AllDataApr[Region], $G105, AllDataApr[Season], T$91)</f>
        <v>0</v>
      </c>
      <c r="U105" s="95"/>
      <c r="V105" s="97"/>
      <c r="W105" s="96"/>
      <c r="X105" s="99"/>
      <c r="Y105" s="94">
        <f>COUNTIFS(AllDataApr[River], $F105, AllDataApr[Region], $G105, AllDataApr[Season], Y$91)</f>
        <v>7</v>
      </c>
      <c r="Z105" s="95">
        <f>AVERAGEIFS(AllDataApr[Nitrate (PPM)], AllDataApr[River], $F105, AllDataApr[Region], $G105, AllDataApr[Season], Y$91)</f>
        <v>7.8571428571428568</v>
      </c>
      <c r="AA105" s="97">
        <f t="shared" si="30"/>
        <v>0.15678776290630972</v>
      </c>
      <c r="AB105" s="96">
        <f>AVERAGEIFS(AllDataApr[Phosphate (PPM)], AllDataApr[River], $F105, AllDataApr[Region], $G105, AllDataApr[Season], Y$91)</f>
        <v>0.55999999999999994</v>
      </c>
      <c r="AC105" s="97">
        <f t="shared" si="31"/>
        <v>-5.1578137028483545E-2</v>
      </c>
      <c r="AD105" s="94">
        <f>COUNTIFS(AllDataApr[River], $F105, AllDataApr[Region], $G105, AllDataApr[Season], "Spring")</f>
        <v>11</v>
      </c>
      <c r="AE105" s="95">
        <f>AVERAGEIFS(AllDataApr[Nitrate (PPM)], AllDataApr[River], $F105, AllDataApr[Region], $G105, AllDataApr[Season], "Spring")</f>
        <v>5.7272727272727275</v>
      </c>
      <c r="AF105" s="97">
        <f t="shared" si="32"/>
        <v>-0.15678776290630972</v>
      </c>
      <c r="AG105" s="96">
        <f>AVERAGEIFS(AllDataApr[Phosphate (PPM)], AllDataApr[River], $F105, AllDataApr[Region], $G105, AllDataApr[Season], "Spring")</f>
        <v>0.62090909090909097</v>
      </c>
      <c r="AH105" s="100">
        <f t="shared" si="33"/>
        <v>5.1578137028483545E-2</v>
      </c>
    </row>
    <row r="106" spans="2:34" x14ac:dyDescent="0.3">
      <c r="E106" s="166"/>
      <c r="F106" s="82" t="s">
        <v>192</v>
      </c>
      <c r="G106" s="82" t="s">
        <v>188</v>
      </c>
      <c r="H106" s="84">
        <f>COUNTIFS(AllDataApr[River], $F106, AllDataApr[Region], $G106)</f>
        <v>142</v>
      </c>
      <c r="I106" s="95">
        <f t="shared" si="24"/>
        <v>3.5757923497267758</v>
      </c>
      <c r="J106" s="86">
        <f t="shared" si="25"/>
        <v>0.70712682733174526</v>
      </c>
      <c r="K106" s="87" cm="1">
        <f t="array" ref="K106">SUM(COUNTIFS(AllDataApr[Region], G106, AllDataApr[River], F106, AllDataApr[Nitrate Pollution Category], {"High","Very high"}))/COUNTIFS(AllDataApr[Region], G106, AllDataApr[River], F106, AllDataApr[Nitrate (PPM)], "&lt;&gt;0")</f>
        <v>0.89436619718309862</v>
      </c>
      <c r="L106" s="87" cm="1">
        <f t="array" ref="L106">SUM(COUNTIFS(AllDataApr[Region], G106, AllDataApr[River], F106, AllDataApr[Phosphate Pollution Category], {"High","Very high"}))/COUNTIFS(AllDataApr[Region], G106, AllDataApr[River], F106, AllDataApr[Phosphate (PPM)], "&lt;&gt;0")</f>
        <v>0.971830985915493</v>
      </c>
      <c r="M106" s="88"/>
      <c r="N106" s="88"/>
      <c r="O106" s="84">
        <f>COUNTIFS(AllDataApr[River], $F106, AllDataApr[Region], $G106, AllDataApr[Season], O$91)</f>
        <v>1</v>
      </c>
      <c r="P106" s="95">
        <f>AVERAGEIFS(AllDataApr[Nitrate (PPM)], AllDataApr[River], $F106, AllDataApr[Region], $G106, AllDataApr[Season], O$91)</f>
        <v>2</v>
      </c>
      <c r="Q106" s="87">
        <f t="shared" si="26"/>
        <v>-0.44068340541283979</v>
      </c>
      <c r="R106" s="86">
        <f>AVERAGEIFS(AllDataApr[Phosphate (PPM)], AllDataApr[River], $F106, AllDataApr[Region], $G106, AllDataApr[Season], O$91)</f>
        <v>0.78</v>
      </c>
      <c r="S106" s="87">
        <f t="shared" si="27"/>
        <v>0.10305530755102671</v>
      </c>
      <c r="T106" s="84">
        <f>COUNTIFS(AllDataApr[River], $F106, AllDataApr[Region], $G106, AllDataApr[Season], T$91)</f>
        <v>26</v>
      </c>
      <c r="U106" s="85">
        <f>AVERAGEIFS(AllDataApr[Nitrate (PPM)], AllDataApr[River], $F106, AllDataApr[Region], $G106, AllDataApr[Season], T$91)</f>
        <v>5.9</v>
      </c>
      <c r="V106" s="87">
        <f t="shared" si="28"/>
        <v>0.64998395403212261</v>
      </c>
      <c r="W106" s="86">
        <f>AVERAGEIFS(AllDataApr[Phosphate (PPM)], AllDataApr[River], $F106, AllDataApr[Region], $G106, AllDataApr[Season], T$91)</f>
        <v>0.58461538461538454</v>
      </c>
      <c r="X106" s="89">
        <f t="shared" si="29"/>
        <v>-0.17325243221027598</v>
      </c>
      <c r="Y106" s="84">
        <f>COUNTIFS(AllDataApr[River], $F106, AllDataApr[Region], $G106, AllDataApr[Season], Y$91)</f>
        <v>54</v>
      </c>
      <c r="Z106" s="85">
        <f>AVERAGEIFS(AllDataApr[Nitrate (PPM)], AllDataApr[River], $F106, AllDataApr[Region], $G106, AllDataApr[Season], Y$91)</f>
        <v>3.3833333333333333</v>
      </c>
      <c r="AA106" s="87">
        <f t="shared" si="30"/>
        <v>-5.3822760823387356E-2</v>
      </c>
      <c r="AB106" s="86">
        <f>AVERAGEIFS(AllDataApr[Phosphate (PPM)], AllDataApr[River], $F106, AllDataApr[Region], $G106, AllDataApr[Season], Y$91)</f>
        <v>0.63962962962962944</v>
      </c>
      <c r="AC106" s="87">
        <f t="shared" si="31"/>
        <v>-9.5452746371974123E-2</v>
      </c>
      <c r="AD106" s="84">
        <f>COUNTIFS(AllDataApr[River], $F106, AllDataApr[Region], $G106, AllDataApr[Season], "Spring")</f>
        <v>61</v>
      </c>
      <c r="AE106" s="85">
        <f>AVERAGEIFS(AllDataApr[Nitrate (PPM)], AllDataApr[River], $F106, AllDataApr[Region], $G106, AllDataApr[Season], "Spring")</f>
        <v>3.0198360655737702</v>
      </c>
      <c r="AF106" s="87">
        <f t="shared" si="32"/>
        <v>-0.15547778779589536</v>
      </c>
      <c r="AG106" s="86">
        <f>AVERAGEIFS(AllDataApr[Phosphate (PPM)], AllDataApr[River], $F106, AllDataApr[Region], $G106, AllDataApr[Season], "Spring")</f>
        <v>0.82426229508196702</v>
      </c>
      <c r="AH106" s="90">
        <f t="shared" si="33"/>
        <v>0.16564987103122339</v>
      </c>
    </row>
    <row r="107" spans="2:34" x14ac:dyDescent="0.3">
      <c r="E107" s="45"/>
      <c r="F107" s="154"/>
      <c r="G107" s="155" t="s">
        <v>185</v>
      </c>
      <c r="H107" s="84">
        <f>COUNTIFS(AllDataApr[River], $F106, AllDataApr[Region], $G107)</f>
        <v>69</v>
      </c>
      <c r="I107" s="85">
        <f t="shared" si="24"/>
        <v>5.6755043859649117</v>
      </c>
      <c r="J107" s="86">
        <f t="shared" si="25"/>
        <v>0.3805664473684211</v>
      </c>
      <c r="K107" s="87" cm="1">
        <f t="array" ref="K107">SUM(COUNTIFS(AllDataApr[Region], G107, AllDataApr[River], F106, AllDataApr[Nitrate Pollution Category], {"High","Very high"}))/COUNTIFS(AllDataApr[Region], G107, AllDataApr[River], F106, AllDataApr[Nitrate (PPM)], "&lt;&gt;0")</f>
        <v>1</v>
      </c>
      <c r="L107" s="87" cm="1">
        <f t="array" ref="L107">SUM(COUNTIFS(AllDataApr[Region], G107, AllDataApr[River], F106, AllDataApr[Phosphate Pollution Category], {"High","Very high"}))/COUNTIFS(AllDataApr[Region], G107, AllDataApr[River], F106, AllDataApr[Phosphate (PPM)], "&lt;&gt;0")</f>
        <v>1</v>
      </c>
      <c r="M107" s="88"/>
      <c r="N107" s="88"/>
      <c r="O107" s="84">
        <f>COUNTIFS(AllDataApr[River], $F106, AllDataApr[Region], $G107, AllDataApr[Season], O$91)</f>
        <v>1</v>
      </c>
      <c r="P107" s="85">
        <f>AVERAGEIFS(AllDataApr[Nitrate (PPM)], AllDataApr[River], $F106, AllDataApr[Region], $G107, AllDataApr[Season], O$91)</f>
        <v>5</v>
      </c>
      <c r="Q107" s="162">
        <f t="shared" si="26"/>
        <v>-0.11902103144090284</v>
      </c>
      <c r="R107" s="163">
        <f>AVERAGEIFS(AllDataApr[Phosphate (PPM)], AllDataApr[River], $F106, AllDataApr[Region], $G107, AllDataApr[Season], O$91)</f>
        <v>0.55000000000000004</v>
      </c>
      <c r="S107" s="164">
        <f t="shared" si="27"/>
        <v>0.44521411123653964</v>
      </c>
      <c r="T107" s="84">
        <f>COUNTIFS(AllDataApr[River], $F106, AllDataApr[Region], $G107, AllDataApr[Season], T$91)</f>
        <v>19</v>
      </c>
      <c r="U107" s="85">
        <f>AVERAGEIFS(AllDataApr[Nitrate (PPM)], AllDataApr[River], $F106, AllDataApr[Region], $G107, AllDataApr[Season], T$91)</f>
        <v>5.4736842105263159</v>
      </c>
      <c r="V107" s="87">
        <f t="shared" si="28"/>
        <v>-3.5559865998462024E-2</v>
      </c>
      <c r="W107" s="86">
        <f>AVERAGEIFS(AllDataApr[Phosphate (PPM)], AllDataApr[River], $F106, AllDataApr[Region], $G107, AllDataApr[Season], T$91)</f>
        <v>0.4263157894736842</v>
      </c>
      <c r="X107" s="89">
        <f t="shared" si="29"/>
        <v>0.1202138087096622</v>
      </c>
      <c r="Y107" s="84">
        <f>COUNTIFS(AllDataApr[River], $F106, AllDataApr[Region], $G107, AllDataApr[Season], Y$91)</f>
        <v>25</v>
      </c>
      <c r="Z107" s="85">
        <f>AVERAGEIFS(AllDataApr[Nitrate (PPM)], AllDataApr[River], $F106, AllDataApr[Region], $G107, AllDataApr[Season], Y$91)</f>
        <v>5.52</v>
      </c>
      <c r="AA107" s="87">
        <f t="shared" si="30"/>
        <v>-2.7399218710756804E-2</v>
      </c>
      <c r="AB107" s="86">
        <f>AVERAGEIFS(AllDataApr[Phosphate (PPM)], AllDataApr[River], $F106, AllDataApr[Region], $G107, AllDataApr[Season], Y$91)</f>
        <v>0.29720000000000002</v>
      </c>
      <c r="AC107" s="87">
        <f t="shared" si="31"/>
        <v>-0.21905884752818258</v>
      </c>
      <c r="AD107" s="84">
        <f>COUNTIFS(AllDataApr[River], $F106, AllDataApr[Region], $G107, AllDataApr[Season], "Spring")</f>
        <v>24</v>
      </c>
      <c r="AE107" s="85">
        <f>AVERAGEIFS(AllDataApr[Nitrate (PPM)], AllDataApr[River], $F106, AllDataApr[Region], $G107, AllDataApr[Season], "Spring")</f>
        <v>6.708333333333333</v>
      </c>
      <c r="AF107" s="87">
        <f t="shared" si="32"/>
        <v>0.18198011615012197</v>
      </c>
      <c r="AG107" s="86">
        <f>AVERAGEIFS(AllDataApr[Phosphate (PPM)], AllDataApr[River], $F106, AllDataApr[Region], $G107, AllDataApr[Season], "Spring")</f>
        <v>0.24875</v>
      </c>
      <c r="AH107" s="90">
        <f t="shared" si="33"/>
        <v>-0.34636907241801962</v>
      </c>
    </row>
    <row r="108" spans="2:34" s="103" customFormat="1" x14ac:dyDescent="0.3">
      <c r="E108" s="107"/>
      <c r="F108" s="161"/>
      <c r="G108" s="116" t="s">
        <v>1061</v>
      </c>
      <c r="H108" s="110">
        <f>COUNTIF(AllDataApr[River], $F106)</f>
        <v>211</v>
      </c>
      <c r="I108" s="111">
        <f t="shared" si="24"/>
        <v>4.3341742198605555</v>
      </c>
      <c r="J108" s="112">
        <f t="shared" si="25"/>
        <v>0.59395207661123517</v>
      </c>
      <c r="K108" s="113" cm="1">
        <f t="array" ref="K108">SUM(COUNTIFS(AllDataApr[River], F106, AllDataApr[Nitrate Pollution Category], {"High","Very high"}))/COUNTIFS(AllDataApr[River], F106, AllDataApr[Nitrate (PPM)], "&lt;&gt;0")</f>
        <v>0.92890995260663511</v>
      </c>
      <c r="L108" s="113" cm="1">
        <f t="array" ref="L108">SUM(COUNTIFS( AllDataApr[River], F106, AllDataApr[Phosphate Pollution Category], {"High","Very high"}))/COUNTIFS(AllDataApr[River], F106, AllDataApr[Phosphate (PPM)], "&lt;&gt;0")</f>
        <v>0.98104265402843605</v>
      </c>
      <c r="M108" s="114">
        <v>7</v>
      </c>
      <c r="N108" s="114">
        <v>8</v>
      </c>
      <c r="O108" s="110">
        <f>COUNTIFS(AllDataApr[River], $F106, AllDataApr[Season], O$91)</f>
        <v>2</v>
      </c>
      <c r="P108" s="111">
        <f>AVERAGEIFS(AllDataApr[Nitrate (PPM)], AllDataApr[River], $F106, AllDataApr[Season], O$91)</f>
        <v>3.5</v>
      </c>
      <c r="Q108" s="159">
        <f t="shared" si="26"/>
        <v>-0.19246439518700142</v>
      </c>
      <c r="R108" s="112">
        <f>AVERAGEIFS(AllDataApr[Phosphate (PPM)], AllDataApr[River], $F106, AllDataApr[Season], O$91)</f>
        <v>0.66500000000000004</v>
      </c>
      <c r="S108" s="160">
        <f t="shared" si="27"/>
        <v>0.11961894938414115</v>
      </c>
      <c r="T108" s="110">
        <f>COUNTIFS(AllDataApr[River], $F106, AllDataApr[Season], T$91)</f>
        <v>45</v>
      </c>
      <c r="U108" s="111">
        <f>AVERAGEIFS(AllDataApr[Nitrate (PPM)], AllDataApr[River], $F106, AllDataApr[Season], T$91)</f>
        <v>5.7159090909090908</v>
      </c>
      <c r="V108" s="113">
        <f t="shared" si="28"/>
        <v>0.3188000299381113</v>
      </c>
      <c r="W108" s="112">
        <f>AVERAGEIFS(AllDataApr[Phosphate (PPM)], AllDataApr[River], $F106, AllDataApr[Season], T$91)</f>
        <v>0.51777777777777767</v>
      </c>
      <c r="X108" s="115">
        <f t="shared" si="29"/>
        <v>-0.12824990741351772</v>
      </c>
      <c r="Y108" s="110">
        <f>COUNTIFS(AllDataApr[River], $F106, AllDataApr[Season], Y$91)</f>
        <v>79</v>
      </c>
      <c r="Z108" s="111">
        <f>AVERAGEIFS(AllDataApr[Nitrate (PPM)], AllDataApr[River], $F106, AllDataApr[Season], Y$91)</f>
        <v>4.0594936708860754</v>
      </c>
      <c r="AA108" s="113">
        <f t="shared" si="30"/>
        <v>-6.3375520927563794E-2</v>
      </c>
      <c r="AB108" s="112">
        <f>AVERAGEIFS(AllDataApr[Phosphate (PPM)], AllDataApr[River], $F106, AllDataApr[Season], Y$91)</f>
        <v>0.53126582278481005</v>
      </c>
      <c r="AC108" s="113">
        <f t="shared" si="31"/>
        <v>-0.1055409287969469</v>
      </c>
      <c r="AD108" s="110">
        <f>COUNTIFS(AllDataApr[River], $F106, AllDataApr[Season], "Spring")</f>
        <v>85</v>
      </c>
      <c r="AE108" s="111">
        <f>AVERAGEIFS(AllDataApr[Nitrate (PPM)], AllDataApr[River], $F106, AllDataApr[Season], "Spring")</f>
        <v>4.0612941176470585</v>
      </c>
      <c r="AF108" s="113">
        <f t="shared" si="32"/>
        <v>-6.296011382354548E-2</v>
      </c>
      <c r="AG108" s="112">
        <f>AVERAGEIFS(AllDataApr[Phosphate (PPM)], AllDataApr[River], $F106,  AllDataApr[Season], "Spring")</f>
        <v>0.66176470588235292</v>
      </c>
      <c r="AH108" s="140">
        <f t="shared" si="33"/>
        <v>0.11417188682632348</v>
      </c>
    </row>
    <row r="109" spans="2:34" ht="15" thickBot="1" x14ac:dyDescent="0.35">
      <c r="E109" s="45"/>
      <c r="F109" s="153" t="s">
        <v>193</v>
      </c>
      <c r="G109" s="92" t="s">
        <v>187</v>
      </c>
      <c r="H109" s="94">
        <f>COUNTIFS(AllDataApr[River], $F109, AllDataApr[Region], $G109)</f>
        <v>43</v>
      </c>
      <c r="I109" s="95">
        <f t="shared" si="24"/>
        <v>5.1439102564102566</v>
      </c>
      <c r="J109" s="96">
        <f t="shared" si="25"/>
        <v>0.55222377622377627</v>
      </c>
      <c r="K109" s="97" cm="1">
        <f t="array" ref="K109">SUM(COUNTIFS(AllDataApr[Region], G109, AllDataApr[River], F109, AllDataApr[Nitrate Pollution Category], {"High","Very high"}))/COUNTIFS(AllDataApr[Region], G109, AllDataApr[River], F109, AllDataApr[Nitrate (PPM)], "&lt;&gt;0")</f>
        <v>1</v>
      </c>
      <c r="L109" s="97" cm="1">
        <f t="array" ref="L109">SUM(COUNTIFS(AllDataApr[Region], G109, AllDataApr[River], F109, AllDataApr[Phosphate Pollution Category], {"High","Very high"}))/COUNTIFS(AllDataApr[Region], G109, AllDataApr[River], F109, AllDataApr[Phosphate (PPM)], "&lt;&gt;0")</f>
        <v>0.97674418604651159</v>
      </c>
      <c r="M109" s="98">
        <v>6</v>
      </c>
      <c r="N109" s="98">
        <v>9</v>
      </c>
      <c r="O109" s="94">
        <f>COUNTIFS(AllDataApr[River], $F109, AllDataApr[Region], $G109, AllDataApr[Season], O$91)</f>
        <v>5</v>
      </c>
      <c r="P109" s="95">
        <f>AVERAGEIFS(AllDataApr[Nitrate (PPM)], AllDataApr[River], $F109, AllDataApr[Region], $G109, AllDataApr[Season], O$91)</f>
        <v>7.8</v>
      </c>
      <c r="Q109" s="97">
        <f t="shared" si="26"/>
        <v>0.5163561592622592</v>
      </c>
      <c r="R109" s="96">
        <f>AVERAGEIFS(AllDataApr[Phosphate (PPM)], AllDataApr[River], $F109, AllDataApr[Region], $G109, AllDataApr[Season], O$91)</f>
        <v>0.754</v>
      </c>
      <c r="S109" s="97">
        <f t="shared" si="27"/>
        <v>0.36538851180224891</v>
      </c>
      <c r="T109" s="94">
        <f>COUNTIFS(AllDataApr[River], $F109, AllDataApr[Region], $G109, AllDataApr[Season], T$91)</f>
        <v>12</v>
      </c>
      <c r="U109" s="95">
        <f>AVERAGEIFS(AllDataApr[Nitrate (PPM)], AllDataApr[River], $F109, AllDataApr[Region], $G109, AllDataApr[Season], T$91)</f>
        <v>5.083333333333333</v>
      </c>
      <c r="V109" s="97">
        <f t="shared" si="28"/>
        <v>-1.1776434668826805E-2</v>
      </c>
      <c r="W109" s="96">
        <f>AVERAGEIFS(AllDataApr[Phosphate (PPM)], AllDataApr[River], $F109, AllDataApr[Region], $G109, AllDataApr[Season], T$91)</f>
        <v>0.60181818181818181</v>
      </c>
      <c r="X109" s="99">
        <f t="shared" si="29"/>
        <v>8.9808530037483417E-2</v>
      </c>
      <c r="Y109" s="94">
        <f>COUNTIFS(AllDataApr[River], $F109, AllDataApr[Region], $G109, AllDataApr[Season], Y$91)</f>
        <v>13</v>
      </c>
      <c r="Z109" s="95">
        <f>AVERAGEIFS(AllDataApr[Nitrate (PPM)], AllDataApr[River], $F109, AllDataApr[Region], $G109, AllDataApr[Season], Y$91)</f>
        <v>3.7692307692307692</v>
      </c>
      <c r="AA109" s="97">
        <f t="shared" si="30"/>
        <v>-0.26724406505078202</v>
      </c>
      <c r="AB109" s="96">
        <f>AVERAGEIFS(AllDataApr[Phosphate (PPM)], AllDataApr[River], $F109, AllDataApr[Region], $G109, AllDataApr[Season], Y$91)</f>
        <v>0.44307692307692303</v>
      </c>
      <c r="AC109" s="97">
        <f t="shared" si="31"/>
        <v>-0.19764968088339596</v>
      </c>
      <c r="AD109" s="94">
        <f>COUNTIFS(AllDataApr[River], $F109, AllDataApr[Region], $G109, AllDataApr[Season], "Spring")</f>
        <v>13</v>
      </c>
      <c r="AE109" s="95">
        <f>AVERAGEIFS(AllDataApr[Nitrate (PPM)], AllDataApr[River], $F109, AllDataApr[Region], $G109, AllDataApr[Season], "Spring")</f>
        <v>3.9230769230769229</v>
      </c>
      <c r="AF109" s="97">
        <f t="shared" si="32"/>
        <v>-0.23733565954265068</v>
      </c>
      <c r="AG109" s="96">
        <f>AVERAGEIFS(AllDataApr[Phosphate (PPM)], AllDataApr[River], $F109, AllDataApr[Region], $G109, AllDataApr[Season], "Spring")</f>
        <v>0.41000000000000003</v>
      </c>
      <c r="AH109" s="100">
        <f t="shared" si="33"/>
        <v>-0.25754736095633673</v>
      </c>
    </row>
    <row r="110" spans="2:34" ht="15" hidden="1" thickBot="1" x14ac:dyDescent="0.35">
      <c r="B110" s="103"/>
      <c r="C110" s="103"/>
      <c r="D110" s="103"/>
      <c r="E110" s="107"/>
      <c r="F110" s="101"/>
      <c r="G110" s="91"/>
      <c r="H110" s="102"/>
      <c r="I110" s="142"/>
      <c r="J110" s="143"/>
      <c r="K110" s="104"/>
      <c r="L110" s="104"/>
      <c r="M110" s="144"/>
      <c r="N110" s="145"/>
      <c r="O110" s="102"/>
      <c r="P110" s="142"/>
      <c r="Q110" s="104"/>
      <c r="R110" s="143"/>
      <c r="S110" s="105"/>
      <c r="T110" s="102"/>
      <c r="U110" s="142"/>
      <c r="V110" s="104"/>
      <c r="W110" s="143"/>
      <c r="X110" s="105"/>
      <c r="Y110" s="144"/>
      <c r="Z110" s="142"/>
      <c r="AA110" s="104"/>
      <c r="AB110" s="143"/>
      <c r="AC110" s="104"/>
      <c r="AD110" s="102"/>
      <c r="AE110" s="142"/>
      <c r="AF110" s="104"/>
      <c r="AG110" s="143"/>
      <c r="AH110" s="106"/>
    </row>
    <row r="111" spans="2:34" ht="21.6" thickTop="1" thickBot="1" x14ac:dyDescent="0.35">
      <c r="E111" s="45"/>
      <c r="F111" s="156"/>
      <c r="G111" s="108"/>
      <c r="H111" s="66">
        <f>SUM(H96,H97:H107,H109)</f>
        <v>736</v>
      </c>
      <c r="I111" s="67">
        <f>AVERAGE(I96,I97:I105,I108,I109)</f>
        <v>4.567419858780327</v>
      </c>
      <c r="J111" s="69">
        <f>AVERAGE(J96,J97:J105,J108,J109)</f>
        <v>0.52854830989519508</v>
      </c>
      <c r="K111" s="68" cm="1">
        <f t="array" ref="K111">SUM(COUNTIF(AllDataApr[Nitrate Pollution Category], {"High","Very high"}))/COUNTA(AllDataApr[Nitrate (PPM)])</f>
        <v>0.97404371584699456</v>
      </c>
      <c r="L111" s="68" cm="1">
        <f t="array" ref="L111">SUM(COUNTIF(AllDataApr[Phosphate Pollution Category], {"High","Very high"}))/COUNTA(AllDataApr[Phosphate (PPM)])</f>
        <v>0.99319727891156462</v>
      </c>
      <c r="M111" s="69"/>
      <c r="N111" s="157"/>
      <c r="O111" s="66">
        <f>SUM(O96,O97:O107,O109)</f>
        <v>65</v>
      </c>
      <c r="P111" s="67">
        <f>AVERAGE(P96,P97:P105,P108,P109)</f>
        <v>6.1840909090909095</v>
      </c>
      <c r="Q111" s="68">
        <f>(P111-$I111)/$I111</f>
        <v>0.35395717939149446</v>
      </c>
      <c r="R111" s="69">
        <f>AVERAGE(R96,R97:R105,R108,R109)</f>
        <v>0.69416964285714289</v>
      </c>
      <c r="S111" s="70">
        <f>(R111-$J111)/$J111</f>
        <v>0.31335136232823935</v>
      </c>
      <c r="T111" s="66">
        <f>SUM(T96,T97:T107,T109)</f>
        <v>158</v>
      </c>
      <c r="U111" s="67">
        <f>AVERAGE(U96,U97:U105,U108,U109)</f>
        <v>5.1179595959595954</v>
      </c>
      <c r="V111" s="68">
        <f>(U111-$I111)/$I111</f>
        <v>0.12053626647020868</v>
      </c>
      <c r="W111" s="69">
        <f>AVERAGE(W96,W97:W105,W108,W109)</f>
        <v>0.50643201243201241</v>
      </c>
      <c r="X111" s="70">
        <f>(W111-$J111)/$J111</f>
        <v>-4.1843474000641624E-2</v>
      </c>
      <c r="Y111" s="146">
        <f>SUM(Y96,Y97:Y107,Y109)</f>
        <v>224</v>
      </c>
      <c r="Z111" s="67">
        <f>AVERAGE(Z96,Z97:Z105,Z108,Z109)</f>
        <v>4.8712679101741818</v>
      </c>
      <c r="AA111" s="68">
        <f>(Z111-$I111)/$I111</f>
        <v>6.6525097492349583E-2</v>
      </c>
      <c r="AB111" s="69">
        <f>AVERAGE(AB96,AB97:AB105,AB108,AB109)</f>
        <v>0.48471140756555348</v>
      </c>
      <c r="AC111" s="70">
        <f>(AB111-$J111)/$J111</f>
        <v>-8.2938307641800893E-2</v>
      </c>
      <c r="AD111" s="66">
        <f>SUM(AD96,AD97:AD107,AD109)</f>
        <v>289</v>
      </c>
      <c r="AE111" s="67">
        <f>AVERAGE(AE96,AE97:AE105,AE108,AE109)</f>
        <v>4.4725542482493426</v>
      </c>
      <c r="AF111" s="68">
        <f>(AE111-$I111)/$I111</f>
        <v>-2.0770065696635365E-2</v>
      </c>
      <c r="AG111" s="69">
        <f>AVERAGE(AG96,AG97:AG105,AG108,AG109)</f>
        <v>0.56534735251635504</v>
      </c>
      <c r="AH111" s="70">
        <f>(AG111-$J111)/$J111</f>
        <v>6.9622855531326508E-2</v>
      </c>
    </row>
  </sheetData>
  <autoFilter ref="B11:AH55" xr:uid="{15B109FA-FCE8-4FB2-8DE0-509B32FC351D}"/>
  <mergeCells count="34">
    <mergeCell ref="H91:N91"/>
    <mergeCell ref="O91:S91"/>
    <mergeCell ref="T91:X91"/>
    <mergeCell ref="Y91:AC91"/>
    <mergeCell ref="AD91:AH91"/>
    <mergeCell ref="B8:F9"/>
    <mergeCell ref="B60:F61"/>
    <mergeCell ref="B89:F90"/>
    <mergeCell ref="O89:AH89"/>
    <mergeCell ref="O90:AC90"/>
    <mergeCell ref="AD90:AH90"/>
    <mergeCell ref="O8:AH8"/>
    <mergeCell ref="O9:AC9"/>
    <mergeCell ref="AD9:AH9"/>
    <mergeCell ref="H10:N10"/>
    <mergeCell ref="O10:S10"/>
    <mergeCell ref="T10:X10"/>
    <mergeCell ref="Y10:AC10"/>
    <mergeCell ref="AD10:AH10"/>
    <mergeCell ref="O60:AH60"/>
    <mergeCell ref="O61:AC61"/>
    <mergeCell ref="D2:K2"/>
    <mergeCell ref="F3:G3"/>
    <mergeCell ref="H3:I3"/>
    <mergeCell ref="J3:K3"/>
    <mergeCell ref="F4:G4"/>
    <mergeCell ref="H4:I4"/>
    <mergeCell ref="J4:K4"/>
    <mergeCell ref="AD61:AH61"/>
    <mergeCell ref="H62:N62"/>
    <mergeCell ref="O62:S62"/>
    <mergeCell ref="T62:X62"/>
    <mergeCell ref="Y62:AC62"/>
    <mergeCell ref="AD62:AH62"/>
  </mergeCells>
  <conditionalFormatting sqref="I12:I55 P12:P55 U12:U55 Z12:Z55 AE12:AE55 I64:I84 P64:P84 U64:U84 Z64:Z84 AE64:AE84 I93:I109 P93:P109 U93:U109 Z93:Z109 AE93:AE109">
    <cfRule type="colorScale" priority="6">
      <colorScale>
        <cfvo type="min"/>
        <cfvo type="max"/>
        <color rgb="FFFCFCFF"/>
        <color rgb="FFF8696B"/>
      </colorScale>
    </cfRule>
  </conditionalFormatting>
  <conditionalFormatting sqref="J12:J55 R12:R55 W12:W55 AB12:AB55 AG12:AG55 AG64:AG84 AB64:AB84 W64:W84 R64:R84 J64:J84 J93:J109 R93:R109 W94:W109 AB93:AB109 AG93:AG109">
    <cfRule type="colorScale" priority="5">
      <colorScale>
        <cfvo type="min"/>
        <cfvo type="max"/>
        <color rgb="FFFCFCFF"/>
        <color theme="4"/>
      </colorScale>
    </cfRule>
  </conditionalFormatting>
  <conditionalFormatting sqref="K93:K109 K64:K84 K12:K55">
    <cfRule type="dataBar" priority="4">
      <dataBar>
        <cfvo type="min"/>
        <cfvo type="max"/>
        <color theme="0"/>
      </dataBar>
      <extLst>
        <ext xmlns:x14="http://schemas.microsoft.com/office/spreadsheetml/2009/9/main" uri="{B025F937-C7B1-47D3-B67F-A62EFF666E3E}">
          <x14:id>{8380C27F-1944-4B53-9E17-AFA1C920BFB8}</x14:id>
        </ext>
      </extLst>
    </cfRule>
  </conditionalFormatting>
  <conditionalFormatting sqref="L12:L55 L64:L84 L93:L109">
    <cfRule type="dataBar" priority="3">
      <dataBar>
        <cfvo type="min"/>
        <cfvo type="max"/>
        <color theme="0"/>
      </dataBar>
      <extLst>
        <ext xmlns:x14="http://schemas.microsoft.com/office/spreadsheetml/2009/9/main" uri="{B025F937-C7B1-47D3-B67F-A62EFF666E3E}">
          <x14:id>{8936B2EC-78A3-435C-95E9-CFA6894C16A6}</x14:id>
        </ext>
      </extLst>
    </cfRule>
  </conditionalFormatting>
  <conditionalFormatting sqref="Q12:Q55 S12:S55 V12:V55 X12:X55 AA12:AA55 AC12:AC55 AF12:AF55 AH12:AH55 Q64:Q84 S64:S84 V64:V84 X64:X84 AA64:AA84 AC64:AC84 AF64:AF84 AH64:AH84 Q93:Q109 S93:S109 V93:V109 X93:X109 AA93:AA109 AC93:AC109 AF93:AF109 AH93:AH109">
    <cfRule type="cellIs" dxfId="1" priority="1" operator="lessThan">
      <formula>0</formula>
    </cfRule>
    <cfRule type="cellIs" dxfId="0" priority="2" operator="greaterThan">
      <formula>0</formula>
    </cfRule>
  </conditionalFormatting>
  <hyperlinks>
    <hyperlink ref="F6" r:id="rId1" xr:uid="{FDAA15FD-AEDC-43E9-A953-5FE4A294E3ED}"/>
    <hyperlink ref="F5" r:id="rId2" xr:uid="{167F6873-8998-4411-A3D6-2936D804AD95}"/>
  </hyperlinks>
  <pageMargins left="0.7" right="0.7" top="0.75" bottom="0.75" header="0.3" footer="0.3"/>
  <pageSetup paperSize="9" orientation="portrait" r:id="rId3"/>
  <extLst>
    <ext xmlns:x14="http://schemas.microsoft.com/office/spreadsheetml/2009/9/main" uri="{78C0D931-6437-407d-A8EE-F0AAD7539E65}">
      <x14:conditionalFormattings>
        <x14:conditionalFormatting xmlns:xm="http://schemas.microsoft.com/office/excel/2006/main">
          <x14:cfRule type="dataBar" id="{8380C27F-1944-4B53-9E17-AFA1C920BFB8}">
            <x14:dataBar minLength="0" maxLength="100" border="1" negativeBarBorderColorSameAsPositive="0">
              <x14:cfvo type="autoMin"/>
              <x14:cfvo type="autoMax"/>
              <x14:borderColor rgb="FFFF555A"/>
              <x14:negativeFillColor rgb="FFFF0000"/>
              <x14:negativeBorderColor rgb="FFFF0000"/>
              <x14:axisColor rgb="FF000000"/>
            </x14:dataBar>
          </x14:cfRule>
          <xm:sqref>K93:K109 K64:K84 K12:K55</xm:sqref>
        </x14:conditionalFormatting>
        <x14:conditionalFormatting xmlns:xm="http://schemas.microsoft.com/office/excel/2006/main">
          <x14:cfRule type="dataBar" id="{8936B2EC-78A3-435C-95E9-CFA6894C16A6}">
            <x14:dataBar minLength="0" maxLength="100" border="1" negativeBarBorderColorSameAsPositive="0">
              <x14:cfvo type="autoMin"/>
              <x14:cfvo type="autoMax"/>
              <x14:borderColor rgb="FF638EC6"/>
              <x14:negativeFillColor rgb="FFFF0000"/>
              <x14:negativeBorderColor rgb="FFFF0000"/>
              <x14:axisColor rgb="FF000000"/>
            </x14:dataBar>
          </x14:cfRule>
          <xm:sqref>L12:L55 L64:L84 L93:L109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ADD90-6711-469D-8599-51698D3337A8}">
  <dimension ref="A1:U80"/>
  <sheetViews>
    <sheetView tabSelected="1" topLeftCell="A25" zoomScale="85" zoomScaleNormal="85" workbookViewId="0">
      <selection activeCell="AA40" sqref="AA40"/>
    </sheetView>
  </sheetViews>
  <sheetFormatPr defaultRowHeight="14.4" x14ac:dyDescent="0.3"/>
  <cols>
    <col min="1" max="1" width="20.21875" bestFit="1" customWidth="1"/>
    <col min="18" max="18" width="12.44140625" bestFit="1" customWidth="1"/>
  </cols>
  <sheetData>
    <row r="1" spans="1:19" x14ac:dyDescent="0.3">
      <c r="A1" s="174" t="s">
        <v>1313</v>
      </c>
    </row>
    <row r="3" spans="1:19" x14ac:dyDescent="0.3">
      <c r="A3" t="s">
        <v>186</v>
      </c>
      <c r="B3" t="s">
        <v>216</v>
      </c>
      <c r="I3" t="s">
        <v>189</v>
      </c>
      <c r="J3" t="s">
        <v>216</v>
      </c>
      <c r="R3" t="s">
        <v>184</v>
      </c>
      <c r="S3" t="s">
        <v>216</v>
      </c>
    </row>
    <row r="4" spans="1:19" x14ac:dyDescent="0.3">
      <c r="A4" t="s">
        <v>1036</v>
      </c>
      <c r="B4">
        <f>Tables!H67</f>
        <v>29</v>
      </c>
      <c r="I4" t="s">
        <v>191</v>
      </c>
      <c r="J4">
        <f>Tables!H96</f>
        <v>335</v>
      </c>
      <c r="R4" t="s">
        <v>1084</v>
      </c>
      <c r="S4">
        <f>Tables!O111</f>
        <v>65</v>
      </c>
    </row>
    <row r="5" spans="1:19" x14ac:dyDescent="0.3">
      <c r="A5" t="s">
        <v>1035</v>
      </c>
      <c r="B5">
        <f>Tables!H71</f>
        <v>50</v>
      </c>
      <c r="I5" t="s">
        <v>190</v>
      </c>
      <c r="J5">
        <f>Tables!H99</f>
        <v>53</v>
      </c>
      <c r="R5" t="s">
        <v>1085</v>
      </c>
      <c r="S5">
        <f>Tables!T111</f>
        <v>158</v>
      </c>
    </row>
    <row r="6" spans="1:19" x14ac:dyDescent="0.3">
      <c r="A6" t="s">
        <v>188</v>
      </c>
      <c r="B6">
        <f>Tables!H74</f>
        <v>143</v>
      </c>
      <c r="I6" t="s">
        <v>192</v>
      </c>
      <c r="J6">
        <f>Tables!H108</f>
        <v>211</v>
      </c>
      <c r="R6" t="s">
        <v>1086</v>
      </c>
      <c r="S6">
        <f>Tables!Y111</f>
        <v>224</v>
      </c>
    </row>
    <row r="7" spans="1:19" x14ac:dyDescent="0.3">
      <c r="A7" t="s">
        <v>185</v>
      </c>
      <c r="B7">
        <f>Tables!H79</f>
        <v>330</v>
      </c>
      <c r="I7" t="s">
        <v>193</v>
      </c>
      <c r="J7">
        <f>Tables!H109</f>
        <v>43</v>
      </c>
      <c r="R7" s="12" t="s">
        <v>1314</v>
      </c>
      <c r="S7">
        <f>Tables!AD111</f>
        <v>289</v>
      </c>
    </row>
    <row r="8" spans="1:19" x14ac:dyDescent="0.3">
      <c r="A8" t="s">
        <v>187</v>
      </c>
      <c r="B8">
        <f>Tables!H84</f>
        <v>184</v>
      </c>
      <c r="I8" t="s">
        <v>1039</v>
      </c>
      <c r="J8">
        <f>J9-SUM(J4:J7)</f>
        <v>94</v>
      </c>
      <c r="R8" t="s">
        <v>1061</v>
      </c>
      <c r="S8">
        <f>SUM(S4:S7)</f>
        <v>736</v>
      </c>
    </row>
    <row r="9" spans="1:19" x14ac:dyDescent="0.3">
      <c r="A9" t="s">
        <v>1083</v>
      </c>
      <c r="B9">
        <f>SUM(B4:B8)</f>
        <v>736</v>
      </c>
      <c r="I9" t="s">
        <v>1061</v>
      </c>
      <c r="J9">
        <f>Tables!H111</f>
        <v>736</v>
      </c>
    </row>
    <row r="19" spans="1:16" x14ac:dyDescent="0.3">
      <c r="A19" t="s">
        <v>1087</v>
      </c>
      <c r="B19" t="s">
        <v>1089</v>
      </c>
      <c r="O19" t="s">
        <v>184</v>
      </c>
      <c r="P19" t="s">
        <v>1090</v>
      </c>
    </row>
    <row r="20" spans="1:16" x14ac:dyDescent="0.3">
      <c r="A20" t="s">
        <v>1108</v>
      </c>
      <c r="B20">
        <f>COUNTA(AllDataApr[Nitrate (PPM)])</f>
        <v>732</v>
      </c>
      <c r="H20" t="s">
        <v>1090</v>
      </c>
      <c r="I20">
        <f>Tables!C57</f>
        <v>44</v>
      </c>
      <c r="O20" t="s">
        <v>1084</v>
      </c>
      <c r="P20">
        <v>14</v>
      </c>
    </row>
    <row r="21" spans="1:16" x14ac:dyDescent="0.3">
      <c r="A21" t="s">
        <v>1109</v>
      </c>
      <c r="B21">
        <f>COUNTA(AllDataApr[Phosphate (PPM)])</f>
        <v>735</v>
      </c>
      <c r="H21" t="s">
        <v>1091</v>
      </c>
      <c r="I21">
        <v>27</v>
      </c>
      <c r="O21" t="s">
        <v>1085</v>
      </c>
      <c r="P21">
        <v>22</v>
      </c>
    </row>
    <row r="22" spans="1:16" x14ac:dyDescent="0.3">
      <c r="A22" t="s">
        <v>1088</v>
      </c>
      <c r="B22">
        <f>COUNTA(AllDataApr[Electrical Conductivity (Micros)])</f>
        <v>732</v>
      </c>
      <c r="H22" t="s">
        <v>1092</v>
      </c>
      <c r="I22">
        <v>8</v>
      </c>
      <c r="O22" t="s">
        <v>1086</v>
      </c>
      <c r="P22">
        <v>33</v>
      </c>
    </row>
    <row r="23" spans="1:16" x14ac:dyDescent="0.3">
      <c r="O23" s="12" t="s">
        <v>1314</v>
      </c>
      <c r="P23">
        <v>32</v>
      </c>
    </row>
    <row r="37" spans="1:3" x14ac:dyDescent="0.3">
      <c r="A37" t="s">
        <v>2</v>
      </c>
      <c r="B37" t="s">
        <v>1093</v>
      </c>
    </row>
    <row r="38" spans="1:3" x14ac:dyDescent="0.3">
      <c r="A38" t="s">
        <v>1098</v>
      </c>
      <c r="B38">
        <v>52</v>
      </c>
      <c r="C38" s="171"/>
    </row>
    <row r="39" spans="1:3" x14ac:dyDescent="0.3">
      <c r="A39" t="s">
        <v>11</v>
      </c>
      <c r="B39">
        <v>68</v>
      </c>
      <c r="C39" s="171"/>
    </row>
    <row r="40" spans="1:3" x14ac:dyDescent="0.3">
      <c r="A40" t="s">
        <v>1097</v>
      </c>
      <c r="B40">
        <v>41</v>
      </c>
      <c r="C40" s="171"/>
    </row>
    <row r="41" spans="1:3" x14ac:dyDescent="0.3">
      <c r="A41" t="s">
        <v>1096</v>
      </c>
      <c r="B41">
        <v>60</v>
      </c>
      <c r="C41" s="171"/>
    </row>
    <row r="42" spans="1:3" x14ac:dyDescent="0.3">
      <c r="A42" t="s">
        <v>1094</v>
      </c>
      <c r="B42">
        <f>736-SUM(B38:B41,B43:B44)</f>
        <v>439</v>
      </c>
      <c r="C42" s="171"/>
    </row>
    <row r="43" spans="1:3" x14ac:dyDescent="0.3">
      <c r="A43" t="s">
        <v>52</v>
      </c>
      <c r="B43">
        <v>40</v>
      </c>
      <c r="C43" s="171"/>
    </row>
    <row r="44" spans="1:3" x14ac:dyDescent="0.3">
      <c r="A44" t="s">
        <v>1095</v>
      </c>
      <c r="B44">
        <v>36</v>
      </c>
      <c r="C44" s="171"/>
    </row>
    <row r="45" spans="1:3" x14ac:dyDescent="0.3">
      <c r="C45" s="171"/>
    </row>
    <row r="46" spans="1:3" x14ac:dyDescent="0.3">
      <c r="C46" s="171"/>
    </row>
    <row r="47" spans="1:3" x14ac:dyDescent="0.3">
      <c r="C47" s="171"/>
    </row>
    <row r="48" spans="1:3" x14ac:dyDescent="0.3">
      <c r="C48" s="171"/>
    </row>
    <row r="49" spans="1:5" x14ac:dyDescent="0.3">
      <c r="C49" s="171"/>
    </row>
    <row r="50" spans="1:5" x14ac:dyDescent="0.3">
      <c r="C50" s="171"/>
    </row>
    <row r="51" spans="1:5" x14ac:dyDescent="0.3">
      <c r="C51" s="171"/>
    </row>
    <row r="52" spans="1:5" x14ac:dyDescent="0.3">
      <c r="C52" s="171"/>
    </row>
    <row r="53" spans="1:5" x14ac:dyDescent="0.3">
      <c r="A53" t="s">
        <v>1099</v>
      </c>
      <c r="B53" t="s">
        <v>273</v>
      </c>
      <c r="C53" s="171" t="s">
        <v>163</v>
      </c>
      <c r="D53" t="s">
        <v>1100</v>
      </c>
      <c r="E53" t="s">
        <v>1101</v>
      </c>
    </row>
    <row r="54" spans="1:5" x14ac:dyDescent="0.3">
      <c r="A54" t="s">
        <v>1108</v>
      </c>
      <c r="B54" s="13">
        <v>0</v>
      </c>
      <c r="C54" s="13">
        <v>0.5</v>
      </c>
      <c r="D54" s="173">
        <v>1</v>
      </c>
      <c r="E54" s="13">
        <v>2</v>
      </c>
    </row>
    <row r="55" spans="1:5" x14ac:dyDescent="0.3">
      <c r="A55" t="s">
        <v>1109</v>
      </c>
      <c r="B55" s="4">
        <v>0</v>
      </c>
      <c r="C55" s="4">
        <v>0.05</v>
      </c>
      <c r="D55" s="172">
        <v>0.1</v>
      </c>
      <c r="E55" s="4">
        <v>0.5</v>
      </c>
    </row>
    <row r="56" spans="1:5" x14ac:dyDescent="0.3">
      <c r="C56" s="171"/>
    </row>
    <row r="57" spans="1:5" x14ac:dyDescent="0.3">
      <c r="C57" s="171"/>
    </row>
    <row r="58" spans="1:5" x14ac:dyDescent="0.3">
      <c r="C58" s="171"/>
    </row>
    <row r="59" spans="1:5" x14ac:dyDescent="0.3">
      <c r="C59" s="171"/>
    </row>
    <row r="60" spans="1:5" x14ac:dyDescent="0.3">
      <c r="C60" s="171"/>
    </row>
    <row r="61" spans="1:5" x14ac:dyDescent="0.3">
      <c r="C61" s="171"/>
    </row>
    <row r="62" spans="1:5" x14ac:dyDescent="0.3">
      <c r="C62" s="171"/>
    </row>
    <row r="63" spans="1:5" x14ac:dyDescent="0.3">
      <c r="C63" s="171"/>
    </row>
    <row r="64" spans="1:5" x14ac:dyDescent="0.3">
      <c r="C64" s="171"/>
    </row>
    <row r="65" spans="1:21" x14ac:dyDescent="0.3">
      <c r="C65" s="171"/>
    </row>
    <row r="66" spans="1:21" x14ac:dyDescent="0.3">
      <c r="C66" s="171"/>
    </row>
    <row r="67" spans="1:21" x14ac:dyDescent="0.3">
      <c r="C67" s="171"/>
    </row>
    <row r="68" spans="1:21" x14ac:dyDescent="0.3">
      <c r="C68" s="171"/>
    </row>
    <row r="69" spans="1:21" x14ac:dyDescent="0.3">
      <c r="C69" s="171"/>
    </row>
    <row r="70" spans="1:21" x14ac:dyDescent="0.3">
      <c r="C70" s="171"/>
    </row>
    <row r="71" spans="1:21" x14ac:dyDescent="0.3">
      <c r="C71" s="171"/>
    </row>
    <row r="72" spans="1:21" x14ac:dyDescent="0.3">
      <c r="C72" s="171"/>
    </row>
    <row r="73" spans="1:21" x14ac:dyDescent="0.3">
      <c r="A73" t="s">
        <v>1108</v>
      </c>
      <c r="C73" s="171"/>
      <c r="Q73" t="s">
        <v>1109</v>
      </c>
      <c r="S73" s="171"/>
    </row>
    <row r="74" spans="1:21" x14ac:dyDescent="0.3">
      <c r="A74" t="s">
        <v>184</v>
      </c>
      <c r="B74" t="s">
        <v>191</v>
      </c>
      <c r="C74" s="171" t="s">
        <v>192</v>
      </c>
      <c r="D74" t="s">
        <v>1103</v>
      </c>
      <c r="E74" t="s">
        <v>1105</v>
      </c>
      <c r="Q74" t="s">
        <v>184</v>
      </c>
      <c r="R74" t="s">
        <v>191</v>
      </c>
      <c r="S74" s="171" t="s">
        <v>192</v>
      </c>
      <c r="T74" t="s">
        <v>1103</v>
      </c>
      <c r="U74" t="s">
        <v>1105</v>
      </c>
    </row>
    <row r="75" spans="1:21" x14ac:dyDescent="0.3">
      <c r="A75" t="s">
        <v>1084</v>
      </c>
      <c r="B75" s="13">
        <f>Tables!P96</f>
        <v>7.4363636363636365</v>
      </c>
      <c r="C75" s="13">
        <f>Tables!P108</f>
        <v>3.5</v>
      </c>
      <c r="D75" s="13"/>
      <c r="Q75" t="s">
        <v>1084</v>
      </c>
      <c r="R75" s="4">
        <f>Tables!R96</f>
        <v>0.71767857142857161</v>
      </c>
      <c r="S75" s="4">
        <f>Tables!R108</f>
        <v>0.66500000000000004</v>
      </c>
      <c r="T75" s="4"/>
      <c r="U75" s="4"/>
    </row>
    <row r="76" spans="1:21" x14ac:dyDescent="0.3">
      <c r="A76" t="s">
        <v>1085</v>
      </c>
      <c r="B76" s="13">
        <f>Tables!U96</f>
        <v>7.2349999999999994</v>
      </c>
      <c r="C76" s="13">
        <f>Tables!U108</f>
        <v>5.7159090909090908</v>
      </c>
      <c r="D76" s="13"/>
      <c r="Q76" t="s">
        <v>1085</v>
      </c>
      <c r="R76" s="4">
        <f>Tables!W96</f>
        <v>0.68923076923076931</v>
      </c>
      <c r="S76" s="4">
        <f>Tables!W108</f>
        <v>0.51777777777777767</v>
      </c>
      <c r="T76" s="4"/>
      <c r="U76" s="4"/>
    </row>
    <row r="77" spans="1:21" x14ac:dyDescent="0.3">
      <c r="A77" t="s">
        <v>1086</v>
      </c>
      <c r="B77" s="13">
        <f>Tables!Z96</f>
        <v>7.202247191011236</v>
      </c>
      <c r="C77" s="13">
        <f>Tables!Z108</f>
        <v>4.0594936708860754</v>
      </c>
      <c r="D77" s="13"/>
      <c r="Q77" t="s">
        <v>1086</v>
      </c>
      <c r="R77" s="4">
        <f>Tables!AB96</f>
        <v>0.59359550561797747</v>
      </c>
      <c r="S77" s="4">
        <f>Tables!AB108</f>
        <v>0.53126582278481005</v>
      </c>
      <c r="T77" s="4"/>
      <c r="U77" s="4"/>
    </row>
    <row r="78" spans="1:21" x14ac:dyDescent="0.3">
      <c r="A78" s="12" t="s">
        <v>1314</v>
      </c>
      <c r="B78" s="13">
        <f>Tables!AE96</f>
        <v>7.1010101010101012</v>
      </c>
      <c r="C78" s="13">
        <f>Tables!AE108</f>
        <v>4.0612941176470585</v>
      </c>
      <c r="D78" s="13"/>
      <c r="Q78" s="12" t="s">
        <v>1314</v>
      </c>
      <c r="R78" s="4">
        <f>Tables!AG96</f>
        <v>0.50111111111111117</v>
      </c>
      <c r="S78" s="4">
        <f>Tables!AG108</f>
        <v>0.66176470588235292</v>
      </c>
      <c r="T78" s="4"/>
      <c r="U78" s="4"/>
    </row>
    <row r="79" spans="1:21" x14ac:dyDescent="0.3">
      <c r="A79" t="s">
        <v>1104</v>
      </c>
      <c r="B79" s="13">
        <f>Tables!I96</f>
        <v>7.2436552320962431</v>
      </c>
      <c r="C79" s="13">
        <f>Tables!I108</f>
        <v>4.3341742198605555</v>
      </c>
      <c r="D79" s="13">
        <v>2</v>
      </c>
      <c r="E79">
        <v>0.5</v>
      </c>
      <c r="Q79" t="s">
        <v>1104</v>
      </c>
      <c r="R79" s="4">
        <f>Tables!J96</f>
        <v>0.62540398934710739</v>
      </c>
      <c r="S79" s="4">
        <f>Tables!J108</f>
        <v>0.59395207661123517</v>
      </c>
      <c r="T79" s="4">
        <v>0.5</v>
      </c>
      <c r="U79" s="4">
        <v>0.05</v>
      </c>
    </row>
    <row r="80" spans="1:21" x14ac:dyDescent="0.3">
      <c r="C80" s="171"/>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All Data (20-04)</vt:lpstr>
      <vt:lpstr>Sites</vt:lpstr>
      <vt:lpstr>Tables</vt:lpstr>
      <vt:lpstr>Charts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Wetherill</dc:creator>
  <cp:lastModifiedBy>Michael Wetherill</cp:lastModifiedBy>
  <dcterms:created xsi:type="dcterms:W3CDTF">2015-06-05T18:17:20Z</dcterms:created>
  <dcterms:modified xsi:type="dcterms:W3CDTF">2024-06-01T11:09:30Z</dcterms:modified>
</cp:coreProperties>
</file>